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DTAYLOR\Downloads\"/>
    </mc:Choice>
  </mc:AlternateContent>
  <xr:revisionPtr revIDLastSave="0" documentId="8_{FB7C0C3E-AEE4-4965-9AFB-8D60011F0120}" xr6:coauthVersionLast="47" xr6:coauthVersionMax="47" xr10:uidLastSave="{00000000-0000-0000-0000-000000000000}"/>
  <bookViews>
    <workbookView xWindow="-108" yWindow="-108" windowWidth="23256" windowHeight="12576" tabRatio="790" xr2:uid="{F0DD7D82-09A2-40E0-BEC1-DF04C4E0E9C9}"/>
  </bookViews>
  <sheets>
    <sheet name="CONSOLE" sheetId="13" r:id="rId1"/>
    <sheet name="LHA" sheetId="14" r:id="rId2"/>
    <sheet name="TENANTS" sheetId="15" r:id="rId3"/>
    <sheet name="CUMTB23" sheetId="27" r:id="rId4"/>
    <sheet name="TB22" sheetId="24" r:id="rId5"/>
    <sheet name="TB21" sheetId="19" r:id="rId6"/>
    <sheet name="Payroll24" sheetId="25" r:id="rId7"/>
    <sheet name="Payroll23" sheetId="17" r:id="rId8"/>
    <sheet name="FAR" sheetId="26" r:id="rId9"/>
    <sheet name="WBC OFFER 2023" sheetId="22" r:id="rId10"/>
    <sheet name="WBC OFFER 2022" sheetId="18" r:id="rId11"/>
    <sheet name="21% 21" sheetId="20" r:id="rId12"/>
  </sheets>
  <externalReferences>
    <externalReference r:id="rId13"/>
    <externalReference r:id="rId14"/>
  </externalReferences>
  <definedNames>
    <definedName name="_xlnm._FilterDatabase" localSheetId="1" hidden="1">LHA!#REF!</definedName>
    <definedName name="_xlnm._FilterDatabase" localSheetId="7" hidden="1">Payroll23!$A$1:$U$7</definedName>
    <definedName name="_xlnm._FilterDatabase" localSheetId="6" hidden="1">Payroll24!$A$1:$U$7</definedName>
    <definedName name="_xlnm.Print_Area" localSheetId="0">CONSOLE!$A$1:$I$45</definedName>
    <definedName name="_xlnm.Print_Area" localSheetId="1">LHA!$A$1:$L$90</definedName>
    <definedName name="_xlnm.Print_Area" localSheetId="7">Payroll23!$A$1:$Y$22</definedName>
    <definedName name="_xlnm.Print_Area" localSheetId="6">Payroll24!$A$1:$Y$22</definedName>
    <definedName name="_xlnm.Print_Area" localSheetId="2">TENANTS!$A$1:$L$23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R4" i="25" l="1"/>
  <c r="R3" i="25"/>
  <c r="R2" i="25"/>
  <c r="I8" i="15"/>
  <c r="H8" i="15"/>
  <c r="I7" i="15"/>
  <c r="I6" i="15"/>
  <c r="I5" i="15"/>
  <c r="H5" i="15"/>
  <c r="I4" i="15"/>
  <c r="H4" i="15"/>
  <c r="I7" i="14"/>
  <c r="H7" i="14"/>
  <c r="I6" i="14"/>
  <c r="H6" i="14"/>
  <c r="I5" i="14"/>
  <c r="N49" i="22"/>
  <c r="O49" i="22"/>
  <c r="P49" i="22"/>
  <c r="M49" i="22"/>
  <c r="O48" i="22"/>
  <c r="P48" i="22"/>
  <c r="N48" i="22"/>
  <c r="M48" i="22"/>
  <c r="N52" i="22"/>
  <c r="O52" i="22"/>
  <c r="P52" i="22"/>
  <c r="M52" i="22"/>
  <c r="M51" i="22"/>
  <c r="N51" i="22"/>
  <c r="P51" i="22" s="1"/>
  <c r="N50" i="22"/>
  <c r="P50" i="22" s="1"/>
  <c r="M50" i="22"/>
  <c r="M45" i="22"/>
  <c r="O47" i="22"/>
  <c r="P47" i="22"/>
  <c r="N47" i="22"/>
  <c r="M47" i="22"/>
  <c r="M33" i="22"/>
  <c r="N33" i="22"/>
  <c r="P33" i="22"/>
  <c r="O33" i="22" s="1"/>
  <c r="M34" i="22"/>
  <c r="N34" i="22"/>
  <c r="P34" i="22" s="1"/>
  <c r="O34" i="22" s="1"/>
  <c r="M35" i="22"/>
  <c r="N35" i="22"/>
  <c r="P35" i="22"/>
  <c r="O35" i="22" s="1"/>
  <c r="M36" i="22"/>
  <c r="N36" i="22"/>
  <c r="P36" i="22" s="1"/>
  <c r="O36" i="22" s="1"/>
  <c r="M37" i="22"/>
  <c r="N37" i="22"/>
  <c r="P37" i="22"/>
  <c r="O37" i="22" s="1"/>
  <c r="M38" i="22"/>
  <c r="N38" i="22"/>
  <c r="P38" i="22" s="1"/>
  <c r="O38" i="22" s="1"/>
  <c r="M39" i="22"/>
  <c r="N39" i="22"/>
  <c r="P39" i="22"/>
  <c r="O39" i="22" s="1"/>
  <c r="M40" i="22"/>
  <c r="N40" i="22"/>
  <c r="P40" i="22" s="1"/>
  <c r="O40" i="22" s="1"/>
  <c r="M41" i="22"/>
  <c r="N41" i="22"/>
  <c r="P41" i="22"/>
  <c r="O41" i="22" s="1"/>
  <c r="M42" i="22"/>
  <c r="N42" i="22"/>
  <c r="P42" i="22" s="1"/>
  <c r="O42" i="22" s="1"/>
  <c r="M43" i="22"/>
  <c r="N43" i="22"/>
  <c r="P43" i="22"/>
  <c r="O43" i="22" s="1"/>
  <c r="M44" i="22"/>
  <c r="N44" i="22"/>
  <c r="P44" i="22" s="1"/>
  <c r="O44" i="22" s="1"/>
  <c r="N45" i="22"/>
  <c r="P45" i="22"/>
  <c r="O45" i="22" s="1"/>
  <c r="M46" i="22"/>
  <c r="N46" i="22"/>
  <c r="P46" i="22" s="1"/>
  <c r="O46" i="22" s="1"/>
  <c r="N32" i="22"/>
  <c r="P32" i="22" s="1"/>
  <c r="M32" i="22"/>
  <c r="O32" i="22" s="1"/>
  <c r="M26" i="22"/>
  <c r="O28" i="22"/>
  <c r="P28" i="22"/>
  <c r="N28" i="22"/>
  <c r="M28" i="22"/>
  <c r="M23" i="22"/>
  <c r="N23" i="22"/>
  <c r="P23" i="22" s="1"/>
  <c r="M24" i="22"/>
  <c r="O24" i="22" s="1"/>
  <c r="N24" i="22"/>
  <c r="P24" i="22"/>
  <c r="M25" i="22"/>
  <c r="N25" i="22"/>
  <c r="P25" i="22" s="1"/>
  <c r="O26" i="22"/>
  <c r="N26" i="22"/>
  <c r="P26" i="22"/>
  <c r="M27" i="22"/>
  <c r="N27" i="22"/>
  <c r="P27" i="22" s="1"/>
  <c r="N22" i="22"/>
  <c r="P22" i="22" s="1"/>
  <c r="M22" i="22"/>
  <c r="O22" i="22" s="1"/>
  <c r="H5" i="14"/>
  <c r="I4" i="14"/>
  <c r="H4" i="14"/>
  <c r="O18" i="22"/>
  <c r="O13" i="22"/>
  <c r="O14" i="22"/>
  <c r="O15" i="22"/>
  <c r="O16" i="22"/>
  <c r="O12" i="22"/>
  <c r="N17" i="22"/>
  <c r="M17" i="22"/>
  <c r="O51" i="22" l="1"/>
  <c r="O50" i="22"/>
  <c r="O25" i="22"/>
  <c r="O27" i="22"/>
  <c r="O23" i="22"/>
  <c r="J10" i="15"/>
  <c r="J11" i="15"/>
  <c r="J12" i="15"/>
  <c r="K12" i="15"/>
  <c r="G13" i="15"/>
  <c r="E13" i="15"/>
  <c r="D13" i="15"/>
  <c r="G8" i="22"/>
  <c r="F8" i="14" s="1"/>
  <c r="G9" i="22"/>
  <c r="G7" i="22"/>
  <c r="F12" i="15" s="1"/>
  <c r="F13" i="15" s="1"/>
  <c r="I17" i="15"/>
  <c r="I85" i="14"/>
  <c r="W11" i="25"/>
  <c r="W12" i="25"/>
  <c r="W13" i="25"/>
  <c r="W14" i="25"/>
  <c r="W15" i="25"/>
  <c r="W16" i="25"/>
  <c r="W17" i="25"/>
  <c r="W10" i="25"/>
  <c r="I21" i="14"/>
  <c r="H21" i="14"/>
  <c r="I16" i="14"/>
  <c r="I44" i="14"/>
  <c r="K44" i="14" s="1"/>
  <c r="V2" i="25"/>
  <c r="V3" i="25"/>
  <c r="V4" i="25"/>
  <c r="T2" i="25"/>
  <c r="T3" i="25"/>
  <c r="T4" i="25"/>
  <c r="N17" i="25"/>
  <c r="P16" i="25"/>
  <c r="F38" i="14"/>
  <c r="F39" i="14"/>
  <c r="I29" i="14"/>
  <c r="K29" i="14" s="1"/>
  <c r="I13" i="14"/>
  <c r="I37" i="13"/>
  <c r="I22" i="13"/>
  <c r="H22" i="13"/>
  <c r="I40" i="13"/>
  <c r="I25" i="13"/>
  <c r="I82" i="14"/>
  <c r="K82" i="14" s="1"/>
  <c r="V14" i="17"/>
  <c r="I15" i="15"/>
  <c r="K15" i="15"/>
  <c r="J18" i="15"/>
  <c r="I18" i="15"/>
  <c r="N15" i="25"/>
  <c r="P15" i="25" s="1"/>
  <c r="N13" i="25"/>
  <c r="P13" i="25" s="1"/>
  <c r="N14" i="25"/>
  <c r="P14" i="25" s="1"/>
  <c r="I32" i="14"/>
  <c r="K32" i="14" s="1"/>
  <c r="K16" i="15"/>
  <c r="K18" i="15"/>
  <c r="K11" i="15"/>
  <c r="K78" i="14"/>
  <c r="K79" i="14"/>
  <c r="K80" i="14"/>
  <c r="K81" i="14"/>
  <c r="K83" i="14"/>
  <c r="K84" i="14"/>
  <c r="K86" i="14"/>
  <c r="K68" i="14"/>
  <c r="K69" i="14"/>
  <c r="K70" i="14"/>
  <c r="K71" i="14"/>
  <c r="K72" i="14"/>
  <c r="K73" i="14"/>
  <c r="K74" i="14"/>
  <c r="K75" i="14"/>
  <c r="K76" i="14"/>
  <c r="K61" i="14"/>
  <c r="K62" i="14"/>
  <c r="K63" i="14"/>
  <c r="K64" i="14"/>
  <c r="K65" i="14"/>
  <c r="K67" i="14"/>
  <c r="K56" i="14"/>
  <c r="K58" i="14"/>
  <c r="K60" i="14"/>
  <c r="K47" i="14"/>
  <c r="K48" i="14"/>
  <c r="K49" i="14"/>
  <c r="K43" i="14"/>
  <c r="K45" i="14"/>
  <c r="K46" i="14"/>
  <c r="K31" i="14"/>
  <c r="K24" i="14"/>
  <c r="K25" i="14"/>
  <c r="K26" i="14"/>
  <c r="K27" i="14"/>
  <c r="K28" i="14"/>
  <c r="K22" i="14"/>
  <c r="K23" i="14"/>
  <c r="K13" i="14"/>
  <c r="K15" i="14"/>
  <c r="K16" i="14"/>
  <c r="K17" i="14"/>
  <c r="K18" i="14"/>
  <c r="K19" i="14"/>
  <c r="K20" i="14"/>
  <c r="K8" i="14"/>
  <c r="J83" i="14"/>
  <c r="J84" i="14"/>
  <c r="J86" i="14"/>
  <c r="J71" i="14"/>
  <c r="J72" i="14"/>
  <c r="J73" i="14"/>
  <c r="J74" i="14"/>
  <c r="J75" i="14"/>
  <c r="J76" i="14"/>
  <c r="J78" i="14"/>
  <c r="J79" i="14"/>
  <c r="J80" i="14"/>
  <c r="J81" i="14"/>
  <c r="J67" i="14"/>
  <c r="J68" i="14"/>
  <c r="J69" i="14"/>
  <c r="J70" i="14"/>
  <c r="J56" i="14"/>
  <c r="J58" i="14"/>
  <c r="J60" i="14"/>
  <c r="J61" i="14"/>
  <c r="J62" i="14"/>
  <c r="J63" i="14"/>
  <c r="J64" i="14"/>
  <c r="J65" i="14"/>
  <c r="J48" i="14"/>
  <c r="J49" i="14"/>
  <c r="J43" i="14"/>
  <c r="J44" i="14"/>
  <c r="J45" i="14"/>
  <c r="J46" i="14"/>
  <c r="J47" i="14"/>
  <c r="J31" i="14"/>
  <c r="J23" i="14"/>
  <c r="J24" i="14"/>
  <c r="J25" i="14"/>
  <c r="J26" i="14"/>
  <c r="J27" i="14"/>
  <c r="J28" i="14"/>
  <c r="J15" i="14"/>
  <c r="J16" i="14"/>
  <c r="J17" i="14"/>
  <c r="J18" i="14"/>
  <c r="J19" i="14"/>
  <c r="J20" i="14"/>
  <c r="J22" i="14"/>
  <c r="J13" i="14"/>
  <c r="J16" i="15"/>
  <c r="J15" i="15"/>
  <c r="V12" i="25" l="1"/>
  <c r="I13" i="22"/>
  <c r="M13" i="22" s="1"/>
  <c r="I15" i="22"/>
  <c r="M15" i="22" s="1"/>
  <c r="I14" i="22"/>
  <c r="M14" i="22" s="1"/>
  <c r="I16" i="22"/>
  <c r="M16" i="22" s="1"/>
  <c r="I12" i="22"/>
  <c r="M12" i="22" s="1"/>
  <c r="M18" i="22" s="1"/>
  <c r="J21" i="14"/>
  <c r="K21" i="14"/>
  <c r="J29" i="14"/>
  <c r="J82" i="14"/>
  <c r="J32" i="14"/>
  <c r="F26" i="14"/>
  <c r="F58" i="14"/>
  <c r="F18" i="14"/>
  <c r="D32" i="14"/>
  <c r="E33" i="14"/>
  <c r="D85" i="14"/>
  <c r="D86" i="14"/>
  <c r="D80" i="14"/>
  <c r="D81" i="14"/>
  <c r="D82" i="14"/>
  <c r="D83" i="14"/>
  <c r="D84" i="14"/>
  <c r="D67" i="14"/>
  <c r="D68" i="14"/>
  <c r="D69" i="14"/>
  <c r="D70" i="14"/>
  <c r="D71" i="14"/>
  <c r="D72" i="14"/>
  <c r="D73" i="14"/>
  <c r="D74" i="14"/>
  <c r="D75" i="14"/>
  <c r="D76" i="14"/>
  <c r="D77" i="14"/>
  <c r="D78" i="14"/>
  <c r="D79" i="14"/>
  <c r="D62" i="14"/>
  <c r="D63" i="14"/>
  <c r="D64" i="14"/>
  <c r="D65" i="14"/>
  <c r="D66" i="14"/>
  <c r="D56" i="14"/>
  <c r="D57" i="14"/>
  <c r="D58" i="14"/>
  <c r="D59" i="14"/>
  <c r="D60" i="14"/>
  <c r="D61" i="14"/>
  <c r="D55" i="14"/>
  <c r="D46" i="14"/>
  <c r="D47" i="14"/>
  <c r="D48" i="14"/>
  <c r="D49" i="14"/>
  <c r="D44" i="14"/>
  <c r="D45" i="14"/>
  <c r="D43" i="14"/>
  <c r="D42" i="14"/>
  <c r="D41" i="14"/>
  <c r="D40" i="14"/>
  <c r="D38" i="14"/>
  <c r="D39" i="14" s="1"/>
  <c r="D37" i="14"/>
  <c r="I33" i="14"/>
  <c r="I30" i="14"/>
  <c r="I14" i="14"/>
  <c r="P4" i="14"/>
  <c r="I9" i="15"/>
  <c r="I10" i="15"/>
  <c r="H55" i="14"/>
  <c r="J9" i="15" l="1"/>
  <c r="K9" i="15"/>
  <c r="K10" i="15"/>
  <c r="J14" i="14"/>
  <c r="K14" i="14"/>
  <c r="K30" i="14"/>
  <c r="J30" i="14"/>
  <c r="K33" i="14"/>
  <c r="J33" i="14"/>
  <c r="I19" i="15"/>
  <c r="V11" i="25" l="1"/>
  <c r="D37" i="13"/>
  <c r="D22" i="13"/>
  <c r="F16" i="15"/>
  <c r="F17" i="15"/>
  <c r="F18" i="15"/>
  <c r="F15" i="15"/>
  <c r="F13" i="14"/>
  <c r="E87" i="14"/>
  <c r="C28" i="13" s="1"/>
  <c r="C13" i="13" s="1"/>
  <c r="F56" i="14"/>
  <c r="F57" i="14"/>
  <c r="F59" i="14"/>
  <c r="F60" i="14"/>
  <c r="F61" i="14"/>
  <c r="F62" i="14"/>
  <c r="F63" i="14"/>
  <c r="F64" i="14"/>
  <c r="F65" i="14"/>
  <c r="F66" i="14"/>
  <c r="F67" i="14"/>
  <c r="F68" i="14"/>
  <c r="F69" i="14"/>
  <c r="F70" i="14"/>
  <c r="F71" i="14"/>
  <c r="F72" i="14"/>
  <c r="F73" i="14"/>
  <c r="F74" i="14"/>
  <c r="F75" i="14"/>
  <c r="F76" i="14"/>
  <c r="F77" i="14"/>
  <c r="F78" i="14"/>
  <c r="F79" i="14"/>
  <c r="F80" i="14"/>
  <c r="F81" i="14"/>
  <c r="F82" i="14"/>
  <c r="F83" i="14"/>
  <c r="F84" i="14"/>
  <c r="F85" i="14"/>
  <c r="F86" i="14"/>
  <c r="F55" i="14"/>
  <c r="F45" i="14"/>
  <c r="F46" i="14"/>
  <c r="F47" i="14"/>
  <c r="F48" i="14"/>
  <c r="F49" i="14"/>
  <c r="F40" i="14"/>
  <c r="F41" i="14"/>
  <c r="F42" i="14"/>
  <c r="F43" i="14"/>
  <c r="F44" i="14"/>
  <c r="F37" i="14"/>
  <c r="F14" i="14"/>
  <c r="F15" i="14"/>
  <c r="F16" i="14"/>
  <c r="F17" i="14"/>
  <c r="F19" i="14"/>
  <c r="F20" i="14"/>
  <c r="F21" i="14"/>
  <c r="F22" i="14"/>
  <c r="F23" i="14"/>
  <c r="F24" i="14"/>
  <c r="F25" i="14"/>
  <c r="F27" i="14"/>
  <c r="F28" i="14"/>
  <c r="F29" i="14"/>
  <c r="F30" i="14"/>
  <c r="F31" i="14"/>
  <c r="F32" i="14"/>
  <c r="F33" i="14"/>
  <c r="F12" i="14"/>
  <c r="D12" i="14"/>
  <c r="F5" i="15"/>
  <c r="E4" i="15"/>
  <c r="F4" i="15" s="1"/>
  <c r="D4" i="15"/>
  <c r="F3" i="14"/>
  <c r="F3" i="15" s="1"/>
  <c r="F14" i="15" s="1"/>
  <c r="G3" i="14"/>
  <c r="G11" i="14" s="1"/>
  <c r="F87" i="14" l="1"/>
  <c r="F36" i="14"/>
  <c r="F54" i="14"/>
  <c r="F11" i="14"/>
  <c r="F50" i="14"/>
  <c r="F51" i="14" s="1"/>
  <c r="F19" i="15"/>
  <c r="D14" i="13" s="1"/>
  <c r="F34" i="14"/>
  <c r="D26" i="13" s="1"/>
  <c r="D9" i="13" s="1"/>
  <c r="E6" i="14"/>
  <c r="F6" i="14" s="1"/>
  <c r="D28" i="13" l="1"/>
  <c r="D13" i="13" s="1"/>
  <c r="D42" i="13"/>
  <c r="F52" i="14"/>
  <c r="D27" i="13" s="1"/>
  <c r="D10" i="13"/>
  <c r="D29" i="13" l="1"/>
  <c r="F20" i="15"/>
  <c r="D41" i="13" s="1"/>
  <c r="D11" i="13"/>
  <c r="D12" i="13" s="1"/>
  <c r="D15" i="13"/>
  <c r="I57" i="14" l="1"/>
  <c r="I38" i="14"/>
  <c r="I3" i="14"/>
  <c r="I3" i="15" s="1"/>
  <c r="I14" i="15" s="1"/>
  <c r="G37" i="13"/>
  <c r="G22" i="13"/>
  <c r="I55" i="14"/>
  <c r="F15" i="26"/>
  <c r="G15" i="26" s="1"/>
  <c r="D15" i="26"/>
  <c r="F14" i="26"/>
  <c r="G14" i="26" s="1"/>
  <c r="D14" i="26"/>
  <c r="F13" i="26"/>
  <c r="G13" i="26" s="1"/>
  <c r="E13" i="26"/>
  <c r="C13" i="26"/>
  <c r="B13" i="26"/>
  <c r="A13" i="26"/>
  <c r="F12" i="26"/>
  <c r="G12" i="26" s="1"/>
  <c r="E12" i="26"/>
  <c r="C12" i="26"/>
  <c r="B12" i="26"/>
  <c r="A12" i="26"/>
  <c r="H11" i="26"/>
  <c r="G11" i="26"/>
  <c r="F11" i="26"/>
  <c r="E11" i="26"/>
  <c r="D11" i="26"/>
  <c r="C11" i="26"/>
  <c r="B11" i="26"/>
  <c r="A11" i="26"/>
  <c r="F8" i="26"/>
  <c r="G8" i="26" s="1"/>
  <c r="D8" i="26"/>
  <c r="F7" i="26"/>
  <c r="G7" i="26" s="1"/>
  <c r="D7" i="26"/>
  <c r="F6" i="26"/>
  <c r="G6" i="26" s="1"/>
  <c r="D6" i="26"/>
  <c r="F5" i="26"/>
  <c r="G5" i="26" s="1"/>
  <c r="D5" i="26"/>
  <c r="F4" i="26"/>
  <c r="G4" i="26" s="1"/>
  <c r="D4" i="26"/>
  <c r="F3" i="26"/>
  <c r="G3" i="26" s="1"/>
  <c r="D3" i="26"/>
  <c r="A1" i="26"/>
  <c r="J55" i="14" l="1"/>
  <c r="K55" i="14"/>
  <c r="I54" i="14"/>
  <c r="I11" i="14"/>
  <c r="I36" i="14"/>
  <c r="D12" i="26"/>
  <c r="D13" i="26"/>
  <c r="F16" i="26"/>
  <c r="E16" i="26"/>
  <c r="G9" i="26"/>
  <c r="G10" i="26" s="1"/>
  <c r="F20" i="26" s="1"/>
  <c r="E9" i="26"/>
  <c r="F9" i="26"/>
  <c r="G16" i="26"/>
  <c r="G17" i="26" l="1"/>
  <c r="F21" i="26" s="1"/>
  <c r="E19" i="26" s="1"/>
  <c r="I77" i="14"/>
  <c r="K77" i="14" l="1"/>
  <c r="J77" i="14"/>
  <c r="Y4" i="25" l="1"/>
  <c r="Y3" i="25"/>
  <c r="W18" i="25"/>
  <c r="N12" i="25"/>
  <c r="P12" i="25" s="1"/>
  <c r="P11" i="25"/>
  <c r="N11" i="25"/>
  <c r="W7" i="25"/>
  <c r="Q4" i="25"/>
  <c r="S4" i="25"/>
  <c r="P4" i="25" s="1"/>
  <c r="O4" i="25"/>
  <c r="N4" i="25"/>
  <c r="F4" i="25"/>
  <c r="H4" i="25" s="1"/>
  <c r="Q3" i="25"/>
  <c r="O3" i="25"/>
  <c r="F3" i="25"/>
  <c r="H3" i="25" s="1"/>
  <c r="F2" i="25"/>
  <c r="H2" i="25" s="1"/>
  <c r="D16" i="15"/>
  <c r="D17" i="15"/>
  <c r="H17" i="15" s="1"/>
  <c r="D18" i="15"/>
  <c r="D15" i="15"/>
  <c r="E4" i="14"/>
  <c r="E34" i="14"/>
  <c r="C26" i="13" s="1"/>
  <c r="C9" i="13" s="1"/>
  <c r="E96" i="24"/>
  <c r="C96" i="24"/>
  <c r="D31" i="14"/>
  <c r="D33" i="14"/>
  <c r="D29" i="14"/>
  <c r="D30" i="14"/>
  <c r="D26" i="14"/>
  <c r="D27" i="14"/>
  <c r="D28" i="14"/>
  <c r="D24" i="14"/>
  <c r="D25" i="14"/>
  <c r="D22" i="14"/>
  <c r="D23" i="14"/>
  <c r="D16" i="14"/>
  <c r="D17" i="14"/>
  <c r="D18" i="14"/>
  <c r="D19" i="14"/>
  <c r="D20" i="14"/>
  <c r="D21" i="14"/>
  <c r="D14" i="14"/>
  <c r="D15" i="14"/>
  <c r="D13" i="14"/>
  <c r="K41" i="22"/>
  <c r="K42" i="22"/>
  <c r="K43" i="22"/>
  <c r="K44" i="22"/>
  <c r="K45" i="22"/>
  <c r="K46" i="22"/>
  <c r="K40" i="22"/>
  <c r="K39" i="22"/>
  <c r="K38" i="22"/>
  <c r="E48" i="14"/>
  <c r="E49" i="14"/>
  <c r="H34" i="24"/>
  <c r="G34" i="24"/>
  <c r="E10" i="15"/>
  <c r="F10" i="15" s="1"/>
  <c r="J17" i="15" l="1"/>
  <c r="K17" i="15"/>
  <c r="F4" i="14"/>
  <c r="I3" i="25"/>
  <c r="J3" i="25" s="1"/>
  <c r="I2" i="25"/>
  <c r="I4" i="25"/>
  <c r="X11" i="25"/>
  <c r="N3" i="25"/>
  <c r="V13" i="25"/>
  <c r="K3" i="25"/>
  <c r="U3" i="25" s="1"/>
  <c r="S3" i="25"/>
  <c r="E50" i="14"/>
  <c r="E51" i="14" s="1"/>
  <c r="E19" i="15"/>
  <c r="C42" i="13" s="1"/>
  <c r="E7" i="14"/>
  <c r="F7" i="14" s="1"/>
  <c r="E5" i="14"/>
  <c r="E9" i="15"/>
  <c r="F9" i="15" s="1"/>
  <c r="E8" i="15"/>
  <c r="F8" i="15" s="1"/>
  <c r="J50" i="18"/>
  <c r="K50" i="18"/>
  <c r="L50" i="18"/>
  <c r="I50" i="18"/>
  <c r="L49" i="18"/>
  <c r="I49" i="18" s="1"/>
  <c r="L48" i="18"/>
  <c r="I48" i="18" s="1"/>
  <c r="L55" i="18"/>
  <c r="I55" i="18" s="1"/>
  <c r="L53" i="18"/>
  <c r="I53" i="18" s="1"/>
  <c r="E7" i="15"/>
  <c r="F7" i="15" s="1"/>
  <c r="L41" i="18"/>
  <c r="L42" i="18"/>
  <c r="I42" i="18" s="1"/>
  <c r="L43" i="18"/>
  <c r="L44" i="18"/>
  <c r="L45" i="18"/>
  <c r="L40" i="18"/>
  <c r="I40" i="18" s="1"/>
  <c r="L32" i="18"/>
  <c r="L33" i="18"/>
  <c r="I33" i="18" s="1"/>
  <c r="L34" i="18"/>
  <c r="I34" i="18" s="1"/>
  <c r="L35" i="18"/>
  <c r="L36" i="18"/>
  <c r="L37" i="18"/>
  <c r="I37" i="18" s="1"/>
  <c r="I32" i="18"/>
  <c r="I35" i="18"/>
  <c r="I36" i="18"/>
  <c r="I38" i="18"/>
  <c r="I39" i="18"/>
  <c r="I41" i="18"/>
  <c r="I43" i="18"/>
  <c r="I44" i="18"/>
  <c r="I45" i="18"/>
  <c r="I31" i="18"/>
  <c r="L31" i="18"/>
  <c r="E6" i="15"/>
  <c r="F6" i="15" s="1"/>
  <c r="J46" i="18"/>
  <c r="K46" i="18"/>
  <c r="L39" i="18"/>
  <c r="L38" i="18"/>
  <c r="L28" i="18"/>
  <c r="I28" i="18" s="1"/>
  <c r="K15" i="22"/>
  <c r="K13" i="22"/>
  <c r="K14" i="22"/>
  <c r="K12" i="22"/>
  <c r="E9" i="14" l="1"/>
  <c r="C23" i="13" s="1"/>
  <c r="C24" i="13" s="1"/>
  <c r="C14" i="13"/>
  <c r="F5" i="14"/>
  <c r="F9" i="14" s="1"/>
  <c r="D5" i="13" s="1"/>
  <c r="C10" i="13"/>
  <c r="X13" i="25"/>
  <c r="I41" i="14"/>
  <c r="C38" i="13"/>
  <c r="C39" i="13" s="1"/>
  <c r="J2" i="25"/>
  <c r="X3" i="25"/>
  <c r="P3" i="25"/>
  <c r="V14" i="25"/>
  <c r="X14" i="25" s="1"/>
  <c r="L3" i="25"/>
  <c r="M3" i="25"/>
  <c r="V17" i="25"/>
  <c r="K4" i="25"/>
  <c r="J4" i="25"/>
  <c r="C5" i="13"/>
  <c r="K18" i="22"/>
  <c r="L46" i="18"/>
  <c r="I46" i="18" s="1"/>
  <c r="E3" i="14"/>
  <c r="C37" i="13"/>
  <c r="C22" i="13"/>
  <c r="D84" i="19"/>
  <c r="C84" i="19"/>
  <c r="R2" i="17"/>
  <c r="H41" i="14"/>
  <c r="I45" i="22"/>
  <c r="J45" i="22" s="1"/>
  <c r="I46" i="22"/>
  <c r="J46" i="22"/>
  <c r="I27" i="22"/>
  <c r="J27" i="22" s="1"/>
  <c r="J11" i="22"/>
  <c r="J21" i="22" s="1"/>
  <c r="J31" i="22" s="1"/>
  <c r="G32" i="24"/>
  <c r="W5" i="20"/>
  <c r="G13" i="22"/>
  <c r="H13" i="22" s="1"/>
  <c r="G14" i="22"/>
  <c r="H14" i="22" s="1"/>
  <c r="G15" i="22"/>
  <c r="H15" i="22" s="1"/>
  <c r="G16" i="22"/>
  <c r="H16" i="22"/>
  <c r="G17" i="22"/>
  <c r="G18" i="22"/>
  <c r="H18" i="22"/>
  <c r="G12" i="22"/>
  <c r="H12" i="22"/>
  <c r="H18" i="18"/>
  <c r="H13" i="18"/>
  <c r="H14" i="18"/>
  <c r="H15" i="18"/>
  <c r="H16" i="18"/>
  <c r="H12" i="18"/>
  <c r="I42" i="22"/>
  <c r="J42" i="22" s="1"/>
  <c r="I11" i="22"/>
  <c r="I21" i="22" s="1"/>
  <c r="I31" i="22" s="1"/>
  <c r="I37" i="22"/>
  <c r="J37" i="22" s="1"/>
  <c r="I25" i="22"/>
  <c r="J25" i="22" s="1"/>
  <c r="I26" i="22"/>
  <c r="J26" i="22" s="1"/>
  <c r="I41" i="22"/>
  <c r="J41" i="22" s="1"/>
  <c r="G30" i="24"/>
  <c r="I36" i="22"/>
  <c r="J36" i="22" s="1"/>
  <c r="I50" i="22"/>
  <c r="J50" i="22" s="1"/>
  <c r="I38" i="22"/>
  <c r="J38" i="22" s="1"/>
  <c r="G31" i="24"/>
  <c r="I35" i="22"/>
  <c r="J35" i="22" s="1"/>
  <c r="I51" i="22"/>
  <c r="J51" i="22" s="1"/>
  <c r="I39" i="22"/>
  <c r="J39" i="22" s="1"/>
  <c r="H6" i="15" s="1"/>
  <c r="I55" i="22"/>
  <c r="J55" i="22" s="1"/>
  <c r="I40" i="22"/>
  <c r="J40" i="22" s="1"/>
  <c r="I23" i="22"/>
  <c r="J23" i="22" s="1"/>
  <c r="I44" i="22"/>
  <c r="J44" i="22" s="1"/>
  <c r="I34" i="22"/>
  <c r="J34" i="22" s="1"/>
  <c r="I57" i="22"/>
  <c r="J57" i="22" s="1"/>
  <c r="I32" i="22"/>
  <c r="J32" i="22" s="1"/>
  <c r="I24" i="22"/>
  <c r="J24" i="22" s="1"/>
  <c r="I43" i="22"/>
  <c r="J43" i="22" s="1"/>
  <c r="I33" i="22"/>
  <c r="J33" i="22" s="1"/>
  <c r="J15" i="22"/>
  <c r="G33" i="24"/>
  <c r="I22" i="22"/>
  <c r="J22" i="22" s="1"/>
  <c r="V5" i="17"/>
  <c r="V4" i="17"/>
  <c r="V3" i="17"/>
  <c r="V2" i="17"/>
  <c r="V7" i="17" s="1"/>
  <c r="J12" i="22"/>
  <c r="N12" i="22" s="1"/>
  <c r="W7" i="17"/>
  <c r="W18" i="17"/>
  <c r="T2" i="17"/>
  <c r="S2" i="17"/>
  <c r="H40" i="14"/>
  <c r="A43" i="13"/>
  <c r="T81" i="20"/>
  <c r="F5" i="20"/>
  <c r="P5" i="20"/>
  <c r="P78" i="20"/>
  <c r="P81" i="20"/>
  <c r="F6" i="20"/>
  <c r="W6" i="20"/>
  <c r="Q6" i="20"/>
  <c r="V6" i="20"/>
  <c r="F7" i="20"/>
  <c r="P7" i="20"/>
  <c r="R7" i="20"/>
  <c r="V7" i="20"/>
  <c r="W7" i="20"/>
  <c r="F8" i="20"/>
  <c r="W8" i="20"/>
  <c r="Q8" i="20"/>
  <c r="V8" i="20"/>
  <c r="F9" i="20"/>
  <c r="Q9" i="20"/>
  <c r="V9" i="20"/>
  <c r="F10" i="20"/>
  <c r="R10" i="20"/>
  <c r="P10" i="20"/>
  <c r="V10" i="20"/>
  <c r="W10" i="20"/>
  <c r="F11" i="20"/>
  <c r="O11" i="20"/>
  <c r="O78" i="20"/>
  <c r="O81" i="20"/>
  <c r="F12" i="20"/>
  <c r="R12" i="20"/>
  <c r="P12" i="20"/>
  <c r="W12" i="20"/>
  <c r="F13" i="20"/>
  <c r="Q13" i="20"/>
  <c r="F14" i="20"/>
  <c r="W14" i="20"/>
  <c r="O14" i="20"/>
  <c r="R14" i="20"/>
  <c r="F15" i="20"/>
  <c r="O15" i="20"/>
  <c r="F16" i="20"/>
  <c r="W16" i="20"/>
  <c r="O16" i="20"/>
  <c r="R16" i="20"/>
  <c r="F18" i="20"/>
  <c r="N18" i="20"/>
  <c r="F19" i="20"/>
  <c r="N19" i="20"/>
  <c r="W19" i="20"/>
  <c r="F20" i="20"/>
  <c r="N20" i="20"/>
  <c r="W20" i="20"/>
  <c r="F21" i="20"/>
  <c r="N21" i="20"/>
  <c r="F22" i="20"/>
  <c r="N22" i="20"/>
  <c r="W22" i="20"/>
  <c r="F23" i="20"/>
  <c r="N23" i="20"/>
  <c r="W23" i="20"/>
  <c r="F24" i="20"/>
  <c r="N24" i="20"/>
  <c r="W24" i="20"/>
  <c r="F25" i="20"/>
  <c r="W25" i="20"/>
  <c r="N25" i="20"/>
  <c r="F26" i="20"/>
  <c r="N26" i="20"/>
  <c r="F27" i="20"/>
  <c r="N27" i="20"/>
  <c r="W27" i="20"/>
  <c r="F28" i="20"/>
  <c r="N28" i="20"/>
  <c r="W28" i="20"/>
  <c r="F29" i="20"/>
  <c r="N29" i="20"/>
  <c r="V29" i="20"/>
  <c r="F30" i="20"/>
  <c r="W30" i="20"/>
  <c r="N30" i="20"/>
  <c r="F31" i="20"/>
  <c r="N31" i="20"/>
  <c r="F32" i="20"/>
  <c r="N32" i="20"/>
  <c r="W32" i="20"/>
  <c r="F33" i="20"/>
  <c r="N33" i="20"/>
  <c r="W33" i="20"/>
  <c r="F34" i="20"/>
  <c r="W34" i="20"/>
  <c r="N34" i="20"/>
  <c r="W35" i="20"/>
  <c r="F36" i="20"/>
  <c r="R36" i="20"/>
  <c r="O36" i="20"/>
  <c r="W36" i="20"/>
  <c r="F37" i="20"/>
  <c r="O37" i="20"/>
  <c r="F38" i="20"/>
  <c r="R38" i="20"/>
  <c r="O38" i="20"/>
  <c r="W38" i="20"/>
  <c r="F39" i="20"/>
  <c r="O39" i="20"/>
  <c r="F40" i="20"/>
  <c r="R40" i="20"/>
  <c r="O40" i="20"/>
  <c r="W40" i="20"/>
  <c r="F41" i="20"/>
  <c r="O41" i="20"/>
  <c r="F42" i="20"/>
  <c r="R42" i="20"/>
  <c r="O42" i="20"/>
  <c r="W42" i="20"/>
  <c r="F43" i="20"/>
  <c r="O43" i="20"/>
  <c r="F44" i="20"/>
  <c r="R44" i="20"/>
  <c r="O44" i="20"/>
  <c r="W44" i="20"/>
  <c r="F45" i="20"/>
  <c r="O45" i="20"/>
  <c r="F46" i="20"/>
  <c r="R46" i="20"/>
  <c r="O46" i="20"/>
  <c r="W46" i="20"/>
  <c r="F47" i="20"/>
  <c r="O47" i="20"/>
  <c r="F48" i="20"/>
  <c r="R48" i="20"/>
  <c r="O48" i="20"/>
  <c r="W48" i="20"/>
  <c r="F49" i="20"/>
  <c r="O49" i="20"/>
  <c r="F50" i="20"/>
  <c r="R50" i="20"/>
  <c r="O50" i="20"/>
  <c r="W50" i="20"/>
  <c r="F51" i="20"/>
  <c r="O51" i="20"/>
  <c r="F52" i="20"/>
  <c r="R52" i="20"/>
  <c r="O52" i="20"/>
  <c r="W52" i="20"/>
  <c r="F53" i="20"/>
  <c r="O53" i="20"/>
  <c r="F54" i="20"/>
  <c r="R54" i="20"/>
  <c r="O54" i="20"/>
  <c r="W54" i="20"/>
  <c r="F55" i="20"/>
  <c r="O55" i="20"/>
  <c r="F56" i="20"/>
  <c r="R56" i="20"/>
  <c r="O56" i="20"/>
  <c r="W56" i="20"/>
  <c r="F57" i="20"/>
  <c r="O57" i="20"/>
  <c r="F58" i="20"/>
  <c r="F59" i="20"/>
  <c r="O59" i="20"/>
  <c r="R59" i="20"/>
  <c r="F60" i="20"/>
  <c r="O60" i="20"/>
  <c r="R60" i="20"/>
  <c r="W60" i="20"/>
  <c r="F61" i="20"/>
  <c r="O61" i="20"/>
  <c r="R61" i="20"/>
  <c r="F62" i="20"/>
  <c r="O62" i="20"/>
  <c r="R62" i="20"/>
  <c r="W62" i="20"/>
  <c r="F63" i="20"/>
  <c r="O63" i="20"/>
  <c r="R63" i="20"/>
  <c r="F64" i="20"/>
  <c r="O64" i="20"/>
  <c r="W64" i="20"/>
  <c r="F65" i="20"/>
  <c r="W65" i="20"/>
  <c r="F66" i="20"/>
  <c r="F67" i="20"/>
  <c r="S67" i="20"/>
  <c r="F68" i="20"/>
  <c r="S68" i="20"/>
  <c r="F69" i="20"/>
  <c r="S69" i="20"/>
  <c r="F70" i="20"/>
  <c r="S70" i="20"/>
  <c r="F71" i="20"/>
  <c r="S71" i="20"/>
  <c r="F72" i="20"/>
  <c r="F73" i="20"/>
  <c r="O73" i="20"/>
  <c r="R73" i="20"/>
  <c r="W73" i="20"/>
  <c r="F74" i="20"/>
  <c r="F75" i="20"/>
  <c r="S75" i="20"/>
  <c r="F76" i="20"/>
  <c r="W76" i="20"/>
  <c r="S78" i="20"/>
  <c r="N78" i="20"/>
  <c r="Q78" i="20"/>
  <c r="Q81" i="20"/>
  <c r="W55" i="20"/>
  <c r="W47" i="20"/>
  <c r="W43" i="20"/>
  <c r="W39" i="20"/>
  <c r="W11" i="20"/>
  <c r="W51" i="20"/>
  <c r="W29" i="20"/>
  <c r="R57" i="20"/>
  <c r="R55" i="20"/>
  <c r="R53" i="20"/>
  <c r="R51" i="20"/>
  <c r="R49" i="20"/>
  <c r="R47" i="20"/>
  <c r="R45" i="20"/>
  <c r="R43" i="20"/>
  <c r="R41" i="20"/>
  <c r="R39" i="20"/>
  <c r="R37" i="20"/>
  <c r="W21" i="20"/>
  <c r="W15" i="20"/>
  <c r="W13" i="20"/>
  <c r="R11" i="20"/>
  <c r="W9" i="20"/>
  <c r="F78" i="20"/>
  <c r="W57" i="20"/>
  <c r="W53" i="20"/>
  <c r="W49" i="20"/>
  <c r="W45" i="20"/>
  <c r="W41" i="20"/>
  <c r="W37" i="20"/>
  <c r="W31" i="20"/>
  <c r="W26" i="20"/>
  <c r="W18" i="20"/>
  <c r="R15" i="20"/>
  <c r="W63" i="20"/>
  <c r="W61" i="20"/>
  <c r="W59" i="20"/>
  <c r="R5" i="20"/>
  <c r="H85" i="14"/>
  <c r="G38" i="14"/>
  <c r="G37" i="14"/>
  <c r="K3" i="14"/>
  <c r="H3" i="14"/>
  <c r="H36" i="14" s="1"/>
  <c r="J3" i="14"/>
  <c r="J3" i="15" s="1"/>
  <c r="J14" i="15" s="1"/>
  <c r="D3" i="14"/>
  <c r="D3" i="15" s="1"/>
  <c r="D14" i="15" s="1"/>
  <c r="G82" i="14"/>
  <c r="G80" i="14"/>
  <c r="G29" i="14"/>
  <c r="V13" i="15"/>
  <c r="V11" i="15"/>
  <c r="V10" i="15"/>
  <c r="G17" i="14"/>
  <c r="G16" i="14"/>
  <c r="V7" i="15"/>
  <c r="V6" i="15"/>
  <c r="V5" i="15"/>
  <c r="G9" i="14"/>
  <c r="P9" i="14" s="1"/>
  <c r="G18" i="15"/>
  <c r="Q18" i="15" s="1"/>
  <c r="G17" i="15"/>
  <c r="G15" i="15"/>
  <c r="G8" i="15"/>
  <c r="Q8" i="15" s="1"/>
  <c r="G7" i="15"/>
  <c r="S7" i="15" s="1"/>
  <c r="G6" i="15"/>
  <c r="Q6" i="15" s="1"/>
  <c r="G5" i="15"/>
  <c r="Q5" i="15" s="1"/>
  <c r="G4" i="15"/>
  <c r="D5" i="15"/>
  <c r="D6" i="15"/>
  <c r="D7" i="15"/>
  <c r="D8" i="15"/>
  <c r="Q16" i="15"/>
  <c r="Q9" i="15"/>
  <c r="S9" i="15"/>
  <c r="Q10" i="15"/>
  <c r="S10" i="15"/>
  <c r="Q11" i="15"/>
  <c r="S11" i="15"/>
  <c r="N12" i="17"/>
  <c r="P12" i="17"/>
  <c r="N11" i="17"/>
  <c r="P11" i="17"/>
  <c r="R5" i="17"/>
  <c r="F5" i="17"/>
  <c r="H5" i="17"/>
  <c r="I5" i="17"/>
  <c r="R3" i="17"/>
  <c r="F3" i="17"/>
  <c r="H3" i="17"/>
  <c r="I3" i="17"/>
  <c r="R4" i="17"/>
  <c r="F4" i="17"/>
  <c r="H4" i="17"/>
  <c r="I4" i="17"/>
  <c r="F2" i="17"/>
  <c r="H2" i="17"/>
  <c r="I2" i="17"/>
  <c r="J2" i="17"/>
  <c r="S4" i="17"/>
  <c r="P4" i="17"/>
  <c r="T4" i="17"/>
  <c r="S3" i="17"/>
  <c r="T3" i="17"/>
  <c r="S5" i="17"/>
  <c r="T5" i="17"/>
  <c r="Q5" i="17"/>
  <c r="V13" i="17"/>
  <c r="X13" i="17"/>
  <c r="N4" i="17"/>
  <c r="Q4" i="17"/>
  <c r="V10" i="17"/>
  <c r="H37" i="14"/>
  <c r="R78" i="20"/>
  <c r="S82" i="20"/>
  <c r="N81" i="20"/>
  <c r="V8" i="15"/>
  <c r="J5" i="17"/>
  <c r="J4" i="17"/>
  <c r="J3" i="17"/>
  <c r="K2" i="17"/>
  <c r="U2" i="17" s="1"/>
  <c r="N5" i="17"/>
  <c r="R7" i="17"/>
  <c r="O4" i="17"/>
  <c r="O5" i="17"/>
  <c r="N2" i="17"/>
  <c r="K3" i="17"/>
  <c r="O2" i="17"/>
  <c r="N3" i="17"/>
  <c r="V11" i="17"/>
  <c r="X11" i="17"/>
  <c r="O3" i="17"/>
  <c r="K4" i="17"/>
  <c r="K5" i="17"/>
  <c r="S7" i="17"/>
  <c r="T7" i="17"/>
  <c r="P5" i="17"/>
  <c r="X14" i="17"/>
  <c r="Q3" i="17"/>
  <c r="H38" i="14"/>
  <c r="S81" i="20"/>
  <c r="S83" i="20"/>
  <c r="L5" i="17"/>
  <c r="M5" i="17"/>
  <c r="L4" i="17"/>
  <c r="M4" i="17"/>
  <c r="X10" i="17"/>
  <c r="Q2" i="17"/>
  <c r="U3" i="17"/>
  <c r="V12" i="17"/>
  <c r="X12" i="17" s="1"/>
  <c r="P2" i="17"/>
  <c r="P3" i="17"/>
  <c r="U4" i="17"/>
  <c r="M3" i="17"/>
  <c r="L3" i="17"/>
  <c r="U5" i="17"/>
  <c r="X4" i="17"/>
  <c r="X3" i="17"/>
  <c r="V17" i="17"/>
  <c r="X17" i="17"/>
  <c r="X5" i="17"/>
  <c r="H66" i="14"/>
  <c r="I66" i="14" s="1"/>
  <c r="H59" i="14"/>
  <c r="H57" i="14"/>
  <c r="H12" i="14"/>
  <c r="I12" i="14" s="1"/>
  <c r="D6" i="14"/>
  <c r="D7" i="14"/>
  <c r="D5" i="14"/>
  <c r="P13" i="17"/>
  <c r="P14" i="17"/>
  <c r="P15" i="17"/>
  <c r="H39" i="14"/>
  <c r="F37" i="13"/>
  <c r="F22" i="13"/>
  <c r="P6" i="14"/>
  <c r="P5" i="14"/>
  <c r="P7" i="14"/>
  <c r="P33" i="14"/>
  <c r="H37" i="13"/>
  <c r="I17" i="13"/>
  <c r="I18" i="13"/>
  <c r="I19" i="13"/>
  <c r="I20" i="13"/>
  <c r="I21" i="13"/>
  <c r="I32" i="13"/>
  <c r="I33" i="13"/>
  <c r="I34" i="13"/>
  <c r="I35" i="13"/>
  <c r="I36" i="13"/>
  <c r="A20" i="13"/>
  <c r="A35" i="13" s="1"/>
  <c r="E37" i="13"/>
  <c r="B37" i="13"/>
  <c r="E22" i="13"/>
  <c r="B22" i="13"/>
  <c r="H32" i="24" l="1"/>
  <c r="N15" i="22"/>
  <c r="J28" i="22"/>
  <c r="J52" i="22"/>
  <c r="I52" i="22"/>
  <c r="I18" i="22"/>
  <c r="J13" i="22"/>
  <c r="J16" i="22"/>
  <c r="J6" i="15"/>
  <c r="K6" i="15"/>
  <c r="J47" i="22"/>
  <c r="J14" i="22"/>
  <c r="I28" i="22"/>
  <c r="G29" i="24"/>
  <c r="I47" i="22"/>
  <c r="I48" i="22" s="1"/>
  <c r="K7" i="14"/>
  <c r="H29" i="24"/>
  <c r="K59" i="14"/>
  <c r="J59" i="14"/>
  <c r="J66" i="14"/>
  <c r="K66" i="14"/>
  <c r="K85" i="14"/>
  <c r="J85" i="14"/>
  <c r="J12" i="14"/>
  <c r="K12" i="14"/>
  <c r="K57" i="14"/>
  <c r="J57" i="14"/>
  <c r="J38" i="14"/>
  <c r="K38" i="14"/>
  <c r="K3" i="15"/>
  <c r="K14" i="15" s="1"/>
  <c r="K11" i="14"/>
  <c r="J41" i="14"/>
  <c r="K41" i="14"/>
  <c r="H19" i="15"/>
  <c r="E5" i="13"/>
  <c r="E23" i="13"/>
  <c r="E24" i="13" s="1"/>
  <c r="C15" i="13"/>
  <c r="E52" i="14"/>
  <c r="C27" i="13" s="1"/>
  <c r="C29" i="13" s="1"/>
  <c r="C11" i="13"/>
  <c r="C12" i="13" s="1"/>
  <c r="S5" i="15"/>
  <c r="G50" i="14"/>
  <c r="G34" i="14"/>
  <c r="E26" i="13" s="1"/>
  <c r="E9" i="13" s="1"/>
  <c r="D4" i="14"/>
  <c r="D9" i="14" s="1"/>
  <c r="B5" i="13" s="1"/>
  <c r="D54" i="14"/>
  <c r="I87" i="14"/>
  <c r="J34" i="14"/>
  <c r="I34" i="14"/>
  <c r="J54" i="14"/>
  <c r="L3" i="15"/>
  <c r="L14" i="15" s="1"/>
  <c r="S8" i="15"/>
  <c r="J11" i="14"/>
  <c r="J36" i="14"/>
  <c r="G19" i="15"/>
  <c r="E42" i="13" s="1"/>
  <c r="S4" i="15"/>
  <c r="S6" i="15"/>
  <c r="B6" i="13"/>
  <c r="E11" i="14"/>
  <c r="E54" i="14"/>
  <c r="G54" i="14"/>
  <c r="G87" i="14"/>
  <c r="E28" i="13" s="1"/>
  <c r="E13" i="13" s="1"/>
  <c r="M4" i="25"/>
  <c r="L4" i="25"/>
  <c r="U4" i="25"/>
  <c r="X4" i="25" s="1"/>
  <c r="X17" i="25"/>
  <c r="D11" i="14"/>
  <c r="H11" i="14"/>
  <c r="H54" i="14"/>
  <c r="H3" i="15"/>
  <c r="H14" i="15" s="1"/>
  <c r="G36" i="14"/>
  <c r="G3" i="15"/>
  <c r="G14" i="15" s="1"/>
  <c r="D36" i="14"/>
  <c r="E36" i="14"/>
  <c r="E3" i="15"/>
  <c r="E14" i="15" s="1"/>
  <c r="V9" i="15"/>
  <c r="V14" i="15" s="1"/>
  <c r="D34" i="14"/>
  <c r="B26" i="13" s="1"/>
  <c r="D50" i="14"/>
  <c r="H87" i="14"/>
  <c r="H34" i="14"/>
  <c r="D87" i="14"/>
  <c r="B28" i="13" s="1"/>
  <c r="B13" i="13" s="1"/>
  <c r="D19" i="15"/>
  <c r="Q17" i="15"/>
  <c r="Q7" i="15"/>
  <c r="Q4" i="15"/>
  <c r="Q15" i="15"/>
  <c r="V16" i="17"/>
  <c r="X16" i="17" s="1"/>
  <c r="U7" i="17"/>
  <c r="V19" i="17" s="1"/>
  <c r="X2" i="17"/>
  <c r="X7" i="17" s="1"/>
  <c r="L2" i="17"/>
  <c r="V15" i="17"/>
  <c r="M2" i="17"/>
  <c r="H33" i="24" l="1"/>
  <c r="N16" i="22"/>
  <c r="H31" i="24"/>
  <c r="N14" i="22"/>
  <c r="H30" i="24"/>
  <c r="N13" i="22"/>
  <c r="J18" i="22"/>
  <c r="L18" i="22" s="1"/>
  <c r="J48" i="22"/>
  <c r="H7" i="15" s="1"/>
  <c r="K7" i="15" s="1"/>
  <c r="E10" i="13"/>
  <c r="G51" i="14"/>
  <c r="B10" i="13"/>
  <c r="D51" i="14"/>
  <c r="D52" i="14" s="1"/>
  <c r="K34" i="14"/>
  <c r="J7" i="14"/>
  <c r="I49" i="22"/>
  <c r="J5" i="15"/>
  <c r="K5" i="15"/>
  <c r="J8" i="15"/>
  <c r="K8" i="15"/>
  <c r="J4" i="14"/>
  <c r="K4" i="14"/>
  <c r="K19" i="15"/>
  <c r="J19" i="15"/>
  <c r="J87" i="14"/>
  <c r="K87" i="14"/>
  <c r="G20" i="15"/>
  <c r="F42" i="13"/>
  <c r="F14" i="13"/>
  <c r="B23" i="13"/>
  <c r="B24" i="13" s="1"/>
  <c r="G28" i="13"/>
  <c r="G26" i="13"/>
  <c r="E14" i="13"/>
  <c r="E15" i="13" s="1"/>
  <c r="R16" i="13" s="1"/>
  <c r="L19" i="15"/>
  <c r="B38" i="13"/>
  <c r="B39" i="13" s="1"/>
  <c r="R19" i="15"/>
  <c r="Q19" i="15" s="1"/>
  <c r="B7" i="13"/>
  <c r="P17" i="25"/>
  <c r="I39" i="14" s="1"/>
  <c r="B42" i="13"/>
  <c r="C6" i="13"/>
  <c r="C7" i="13" s="1"/>
  <c r="E20" i="15"/>
  <c r="C41" i="13" s="1"/>
  <c r="B9" i="13"/>
  <c r="B14" i="13"/>
  <c r="F26" i="13"/>
  <c r="F9" i="13" s="1"/>
  <c r="F28" i="13"/>
  <c r="E38" i="13"/>
  <c r="E6" i="13"/>
  <c r="E7" i="13" s="1"/>
  <c r="S13" i="15"/>
  <c r="T13" i="15" s="1"/>
  <c r="H42" i="14"/>
  <c r="X15" i="17"/>
  <c r="X18" i="17" s="1"/>
  <c r="V18" i="17"/>
  <c r="V20" i="17" s="1"/>
  <c r="N18" i="22" l="1"/>
  <c r="I13" i="15"/>
  <c r="G38" i="13" s="1"/>
  <c r="H13" i="15"/>
  <c r="F6" i="13" s="1"/>
  <c r="J7" i="15"/>
  <c r="H28" i="13"/>
  <c r="H26" i="13"/>
  <c r="K5" i="14"/>
  <c r="J5" i="14"/>
  <c r="J6" i="14"/>
  <c r="K6" i="14"/>
  <c r="L20" i="15"/>
  <c r="E41" i="13"/>
  <c r="I28" i="13"/>
  <c r="I26" i="13"/>
  <c r="K39" i="14"/>
  <c r="J39" i="14"/>
  <c r="E11" i="13"/>
  <c r="E12" i="13" s="1"/>
  <c r="G52" i="14"/>
  <c r="E27" i="13" s="1"/>
  <c r="E29" i="13" s="1"/>
  <c r="D20" i="15"/>
  <c r="B41" i="13" s="1"/>
  <c r="G9" i="13"/>
  <c r="G13" i="13"/>
  <c r="H13" i="13" s="1"/>
  <c r="B15" i="13"/>
  <c r="B16" i="13" s="1"/>
  <c r="C16" i="13"/>
  <c r="B27" i="13"/>
  <c r="B29" i="13" s="1"/>
  <c r="D88" i="14"/>
  <c r="D89" i="14" s="1"/>
  <c r="B11" i="13"/>
  <c r="B12" i="13" s="1"/>
  <c r="F13" i="13"/>
  <c r="E39" i="13"/>
  <c r="E16" i="13"/>
  <c r="Q16" i="13" s="1"/>
  <c r="Q7" i="13"/>
  <c r="H50" i="14"/>
  <c r="H51" i="14" s="1"/>
  <c r="F38" i="13" l="1"/>
  <c r="F39" i="13" s="1"/>
  <c r="M20" i="22"/>
  <c r="N19" i="22" s="1"/>
  <c r="N20" i="22" s="1"/>
  <c r="O20" i="22" s="1"/>
  <c r="K19" i="22"/>
  <c r="J4" i="15"/>
  <c r="J13" i="15" s="1"/>
  <c r="K13" i="15" s="1"/>
  <c r="G6" i="13"/>
  <c r="I6" i="13" s="1"/>
  <c r="K4" i="15"/>
  <c r="I9" i="13"/>
  <c r="H9" i="13"/>
  <c r="G88" i="14"/>
  <c r="G89" i="14" s="1"/>
  <c r="G21" i="15" s="1"/>
  <c r="E43" i="13" s="1"/>
  <c r="E30" i="13" s="1"/>
  <c r="E31" i="13" s="1"/>
  <c r="I13" i="13"/>
  <c r="G39" i="13"/>
  <c r="R20" i="15"/>
  <c r="Q20" i="15" s="1"/>
  <c r="D21" i="15"/>
  <c r="F10" i="13"/>
  <c r="H6" i="13" l="1"/>
  <c r="I39" i="13"/>
  <c r="H38" i="13"/>
  <c r="I38" i="13"/>
  <c r="P12" i="22"/>
  <c r="P15" i="22"/>
  <c r="P13" i="22"/>
  <c r="P14" i="22"/>
  <c r="P16" i="22"/>
  <c r="G22" i="15"/>
  <c r="G23" i="15" s="1"/>
  <c r="L23" i="15" s="1"/>
  <c r="E44" i="13"/>
  <c r="E45" i="13" s="1"/>
  <c r="G90" i="14"/>
  <c r="H39" i="13"/>
  <c r="E88" i="14"/>
  <c r="E89" i="14" s="1"/>
  <c r="E21" i="15" s="1"/>
  <c r="D90" i="14"/>
  <c r="B43" i="13"/>
  <c r="D22" i="15"/>
  <c r="F11" i="13"/>
  <c r="H20" i="15"/>
  <c r="F15" i="13"/>
  <c r="H52" i="14"/>
  <c r="P18" i="22" l="1"/>
  <c r="L22" i="15"/>
  <c r="C43" i="13"/>
  <c r="F12" i="13"/>
  <c r="B30" i="13"/>
  <c r="B31" i="13" s="1"/>
  <c r="B44" i="13"/>
  <c r="B45" i="13" s="1"/>
  <c r="D23" i="15"/>
  <c r="R23" i="15" s="1"/>
  <c r="Q23" i="15" s="1"/>
  <c r="R22" i="15"/>
  <c r="Q22" i="15" s="1"/>
  <c r="F41" i="13"/>
  <c r="F27" i="13"/>
  <c r="H88" i="14"/>
  <c r="C30" i="13" l="1"/>
  <c r="C44" i="13"/>
  <c r="E90" i="14"/>
  <c r="E22" i="15"/>
  <c r="E23" i="15" s="1"/>
  <c r="H89" i="14"/>
  <c r="F29" i="13"/>
  <c r="G42" i="13" l="1"/>
  <c r="I42" i="13" s="1"/>
  <c r="G14" i="13"/>
  <c r="C45" i="13"/>
  <c r="H21" i="15"/>
  <c r="I14" i="13" l="1"/>
  <c r="H14" i="13"/>
  <c r="H42" i="13"/>
  <c r="C31" i="13"/>
  <c r="F43" i="13"/>
  <c r="H22" i="15"/>
  <c r="H23" i="15" s="1"/>
  <c r="F30" i="13" l="1"/>
  <c r="F44" i="13"/>
  <c r="F45" i="13" s="1"/>
  <c r="R7" i="25" l="1"/>
  <c r="K2" i="25"/>
  <c r="U2" i="25" s="1"/>
  <c r="V10" i="25"/>
  <c r="S2" i="25"/>
  <c r="V15" i="25" s="1"/>
  <c r="I42" i="14" s="1"/>
  <c r="T7" i="25"/>
  <c r="O2" i="25"/>
  <c r="N2" i="25"/>
  <c r="V18" i="25" l="1"/>
  <c r="I37" i="14"/>
  <c r="J42" i="14"/>
  <c r="K42" i="14"/>
  <c r="Q2" i="25"/>
  <c r="X10" i="25"/>
  <c r="X12" i="25"/>
  <c r="I40" i="14"/>
  <c r="P2" i="25"/>
  <c r="V7" i="25"/>
  <c r="S7" i="25"/>
  <c r="M2" i="25"/>
  <c r="X15" i="25"/>
  <c r="U7" i="25"/>
  <c r="X2" i="25"/>
  <c r="X7" i="25" s="1"/>
  <c r="X16" i="25"/>
  <c r="L2" i="25"/>
  <c r="J40" i="14" l="1"/>
  <c r="K40" i="14"/>
  <c r="K37" i="14"/>
  <c r="J37" i="14"/>
  <c r="I50" i="14"/>
  <c r="I51" i="14" s="1"/>
  <c r="V19" i="25"/>
  <c r="X18" i="25"/>
  <c r="J50" i="14" l="1"/>
  <c r="K50" i="14"/>
  <c r="G10" i="13"/>
  <c r="V20" i="25"/>
  <c r="I10" i="13" l="1"/>
  <c r="H10" i="13"/>
  <c r="I20" i="15"/>
  <c r="J51" i="14"/>
  <c r="J52" i="14" s="1"/>
  <c r="K51" i="14"/>
  <c r="I52" i="14"/>
  <c r="D6" i="13"/>
  <c r="D38" i="13"/>
  <c r="D39" i="13" s="1"/>
  <c r="G11" i="13"/>
  <c r="G15" i="13"/>
  <c r="I11" i="13" l="1"/>
  <c r="H11" i="13"/>
  <c r="I15" i="13"/>
  <c r="H15" i="13"/>
  <c r="K20" i="15"/>
  <c r="J20" i="15"/>
  <c r="I88" i="14"/>
  <c r="I89" i="14" s="1"/>
  <c r="K52" i="14"/>
  <c r="D7" i="13"/>
  <c r="D23" i="13"/>
  <c r="D24" i="13" s="1"/>
  <c r="F88" i="14"/>
  <c r="F89" i="14" s="1"/>
  <c r="F21" i="15" s="1"/>
  <c r="G12" i="13"/>
  <c r="G27" i="13"/>
  <c r="G41" i="13"/>
  <c r="I41" i="13" s="1"/>
  <c r="I12" i="13" l="1"/>
  <c r="H12" i="13"/>
  <c r="I27" i="13"/>
  <c r="H27" i="13"/>
  <c r="J88" i="14"/>
  <c r="K88" i="14"/>
  <c r="I21" i="15"/>
  <c r="K89" i="14"/>
  <c r="J89" i="14"/>
  <c r="H41" i="13"/>
  <c r="D16" i="13"/>
  <c r="F90" i="14"/>
  <c r="D43" i="13"/>
  <c r="F22" i="15"/>
  <c r="F23" i="15" s="1"/>
  <c r="G29" i="13"/>
  <c r="I29" i="13" l="1"/>
  <c r="H29" i="13"/>
  <c r="J21" i="15"/>
  <c r="K21" i="15"/>
  <c r="I22" i="15"/>
  <c r="D30" i="13"/>
  <c r="D31" i="13" s="1"/>
  <c r="D44" i="13"/>
  <c r="D45" i="13" s="1"/>
  <c r="K22" i="15" l="1"/>
  <c r="J22" i="15"/>
  <c r="I23" i="15"/>
  <c r="G43" i="13"/>
  <c r="I43" i="13" s="1"/>
  <c r="K23" i="15" l="1"/>
  <c r="J23" i="15"/>
  <c r="H43" i="13"/>
  <c r="G30" i="13"/>
  <c r="G44" i="13"/>
  <c r="I44" i="13" s="1"/>
  <c r="I30" i="13" l="1"/>
  <c r="H30" i="13"/>
  <c r="H44" i="13"/>
  <c r="H45" i="13" s="1"/>
  <c r="G45" i="13"/>
  <c r="I45" i="13" s="1"/>
  <c r="H9" i="14"/>
  <c r="H90" i="14" s="1"/>
  <c r="F23" i="13" l="1"/>
  <c r="F24" i="13" s="1"/>
  <c r="F31" i="13" s="1"/>
  <c r="F5" i="13"/>
  <c r="F7" i="13" s="1"/>
  <c r="F16" i="13" l="1"/>
  <c r="I9" i="14"/>
  <c r="G23" i="13" l="1"/>
  <c r="K9" i="14"/>
  <c r="G5" i="13"/>
  <c r="I5" i="13" s="1"/>
  <c r="I90" i="14"/>
  <c r="I23" i="13" l="1"/>
  <c r="H23" i="13"/>
  <c r="G24" i="13"/>
  <c r="G31" i="13" s="1"/>
  <c r="I31" i="13" s="1"/>
  <c r="K90" i="14"/>
  <c r="J90" i="14"/>
  <c r="J9" i="14"/>
  <c r="G7" i="13"/>
  <c r="H7" i="13" s="1"/>
  <c r="H16" i="13" s="1"/>
  <c r="H5" i="13"/>
  <c r="I24" i="13" l="1"/>
  <c r="H24" i="13"/>
  <c r="H31" i="13" s="1"/>
  <c r="I7" i="13"/>
  <c r="G16" i="13"/>
  <c r="I16"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tc={8C4E8C7A-F905-4EC9-A566-7AA485F84AC0}</author>
  </authors>
  <commentList>
    <comment ref="R11" authorId="0" shapeId="0" xr:uid="{8C4E8C7A-F905-4EC9-A566-7AA485F84AC0}">
      <text>
        <t>[Threaded comment]
Your version of Excel allows you to read this threaded comment; however, any edits to it will get removed if the file is opened in a newer version of Excel. Learn more: https://go.microsoft.com/fwlink/?linkid=870924
Comment:
    Barney hours
Monday 7 to 3 pm
Wed 7 to 3 pm
Sat 7 to 3</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tc={DEE50EBF-A526-476E-A086-10E8CF27BC77}</author>
  </authors>
  <commentList>
    <comment ref="K25" authorId="0" shapeId="0" xr:uid="{DEE50EBF-A526-476E-A086-10E8CF27BC77}">
      <text>
        <t>[Threaded comment]
Your version of Excel allows you to read this threaded comment; however, any edits to it will get removed if the file is opened in a newer version of Excel. Learn more: https://go.microsoft.com/fwlink/?linkid=870924
Comment:
    Represents cost of keys sold - separate income recorded, not a service chargeable item</t>
      </text>
    </comment>
  </commentList>
</comments>
</file>

<file path=xl/sharedStrings.xml><?xml version="1.0" encoding="utf-8"?>
<sst xmlns="http://schemas.openxmlformats.org/spreadsheetml/2006/main" count="1250" uniqueCount="710">
  <si>
    <t>Goulden House Co-Operative Ltd</t>
  </si>
  <si>
    <t>Codes</t>
  </si>
  <si>
    <t>Management allowance</t>
  </si>
  <si>
    <t>4000/4010</t>
  </si>
  <si>
    <t>Repair allowance</t>
  </si>
  <si>
    <t>4003/4010</t>
  </si>
  <si>
    <t>Estate cost allowance</t>
  </si>
  <si>
    <t>4005/4010</t>
  </si>
  <si>
    <t>Insurance allowance</t>
  </si>
  <si>
    <t>4006/4010</t>
  </si>
  <si>
    <t xml:space="preserve">Block repairs and maintenance </t>
  </si>
  <si>
    <t>Communal electricity</t>
  </si>
  <si>
    <t>Block repairs - labour</t>
  </si>
  <si>
    <t>ROOF &amp; BALCONY REPAIRS</t>
  </si>
  <si>
    <t>Pest control</t>
  </si>
  <si>
    <t>Estate lighting materials</t>
  </si>
  <si>
    <t>Estate lighting labour</t>
  </si>
  <si>
    <t>Vandalism</t>
  </si>
  <si>
    <t>Insurance claim repairs</t>
  </si>
  <si>
    <t>Rechargeable repairs</t>
  </si>
  <si>
    <t>Entryphone keys (KABA)</t>
  </si>
  <si>
    <t>Emergency patrol contract</t>
  </si>
  <si>
    <t>Block cleaning materials</t>
  </si>
  <si>
    <t>Block tools</t>
  </si>
  <si>
    <t>Block repairs - materials</t>
  </si>
  <si>
    <t>CCTV Maintenance</t>
  </si>
  <si>
    <t>Garden maintenance</t>
  </si>
  <si>
    <t>Ball park repairs</t>
  </si>
  <si>
    <t>Bulk rubbish collection</t>
  </si>
  <si>
    <t>Total block repairs and maintenance cost</t>
  </si>
  <si>
    <t>Staffing</t>
  </si>
  <si>
    <t>Gross staff salary - office</t>
  </si>
  <si>
    <t>Staff national insurance - office</t>
  </si>
  <si>
    <t>Pension contribution - office</t>
  </si>
  <si>
    <t xml:space="preserve">Staff recruitment </t>
  </si>
  <si>
    <t>Staff cover - office</t>
  </si>
  <si>
    <t>Accountancy</t>
  </si>
  <si>
    <t>Staff training</t>
  </si>
  <si>
    <t>Staff subs and travel</t>
  </si>
  <si>
    <t xml:space="preserve">Consultancy </t>
  </si>
  <si>
    <t>Total Staffing Cost</t>
  </si>
  <si>
    <t>Tenant only cost (21% as specified by WBC)</t>
  </si>
  <si>
    <t>Total rechargeable amount</t>
  </si>
  <si>
    <t>Management and Services</t>
  </si>
  <si>
    <t>Office rent</t>
  </si>
  <si>
    <t>Insurance policies</t>
  </si>
  <si>
    <t>Subscription fees</t>
  </si>
  <si>
    <t>Office electricity</t>
  </si>
  <si>
    <t>Office equipment</t>
  </si>
  <si>
    <t>Document distribution</t>
  </si>
  <si>
    <t>Photocopier expenses (toner)</t>
  </si>
  <si>
    <t>Photocopier contract and usage</t>
  </si>
  <si>
    <t>Office security</t>
  </si>
  <si>
    <t>Domain name, hosting, Office 365</t>
  </si>
  <si>
    <t>IT support, backup and security</t>
  </si>
  <si>
    <t>Committee subsistence</t>
  </si>
  <si>
    <t>Committee travel/child care</t>
  </si>
  <si>
    <t>Sundries</t>
  </si>
  <si>
    <t>Community events</t>
  </si>
  <si>
    <t>Depreciations</t>
  </si>
  <si>
    <t>Bank Charges</t>
  </si>
  <si>
    <t>Annual returns</t>
  </si>
  <si>
    <t>Audit fees</t>
  </si>
  <si>
    <t>Legal fees</t>
  </si>
  <si>
    <t>Committee training</t>
  </si>
  <si>
    <t>HR Services</t>
  </si>
  <si>
    <t>Corporation tax</t>
  </si>
  <si>
    <t xml:space="preserve">Contingency Fund </t>
  </si>
  <si>
    <t>Total Management and service cost</t>
  </si>
  <si>
    <t>Description</t>
  </si>
  <si>
    <t>Repairs allowance</t>
  </si>
  <si>
    <t>Administration</t>
  </si>
  <si>
    <t>Client cost allowance</t>
  </si>
  <si>
    <t xml:space="preserve">Total income </t>
  </si>
  <si>
    <t>Tenant repairs - labour</t>
  </si>
  <si>
    <t>Tenant repairs - materials</t>
  </si>
  <si>
    <t xml:space="preserve"> INCOME Leaseholders</t>
  </si>
  <si>
    <t>INCOME Tenants</t>
  </si>
  <si>
    <t>TOTAL INCOME Leaseholders &amp; Tenants</t>
  </si>
  <si>
    <t>EXPENDITURE</t>
  </si>
  <si>
    <t>TOTAL SURPLUS/(DEFICIT)</t>
  </si>
  <si>
    <t>TOTAL INCOME</t>
  </si>
  <si>
    <t>Total Leaseholder (rechargeable) amount</t>
  </si>
  <si>
    <t>TOTAL EXPENDITURE Leaseholders &amp; Tenants</t>
  </si>
  <si>
    <t>Total Staffing Cost - Leaseholder % ONLY Total rechargeable amount</t>
  </si>
  <si>
    <t>TOTAL INCOME Leaseholders</t>
  </si>
  <si>
    <t>TOTAL EXPENDITURE Leaseholders</t>
  </si>
  <si>
    <t>TOTAL INCOME Tenants</t>
  </si>
  <si>
    <t>TOTAL EXPENDITURE Tenants</t>
  </si>
  <si>
    <t>Total Tenant (NOT SERVICE CHARGEABLE)</t>
  </si>
  <si>
    <t>Total Tenants costs EXCLUDING Staffing Costs</t>
  </si>
  <si>
    <t>Name</t>
  </si>
  <si>
    <t>Post</t>
  </si>
  <si>
    <t>Working Day</t>
  </si>
  <si>
    <t>From</t>
  </si>
  <si>
    <t>To</t>
  </si>
  <si>
    <t>Hours Per Day</t>
  </si>
  <si>
    <t>Lunch Time (hour)</t>
  </si>
  <si>
    <t>Net Hours Per Day</t>
  </si>
  <si>
    <t xml:space="preserve">Net Hours Per Week </t>
  </si>
  <si>
    <t>Hours Per Month</t>
  </si>
  <si>
    <t>Hourly Rate</t>
  </si>
  <si>
    <t xml:space="preserve">Overtime Rate x1.5 </t>
  </si>
  <si>
    <t>Overtime Rate x2.0</t>
  </si>
  <si>
    <t>Weekly Gross</t>
  </si>
  <si>
    <t>Monthly Gross</t>
  </si>
  <si>
    <t>Pension Per Month ( Employer )</t>
  </si>
  <si>
    <t>Pension Per Month ( Employee )</t>
  </si>
  <si>
    <t>Pension Per Year (Employer) - 3%</t>
  </si>
  <si>
    <t>Pension Per Year (Employee) - 5%</t>
  </si>
  <si>
    <t>Total Cost (Gross+Pension+Holiday+NIC)</t>
  </si>
  <si>
    <t>Estate Manager</t>
  </si>
  <si>
    <t>Finance Officer</t>
  </si>
  <si>
    <t>Caretaker</t>
  </si>
  <si>
    <t xml:space="preserve">Notes </t>
  </si>
  <si>
    <t>2. Based on Latest NIC rate for employer</t>
  </si>
  <si>
    <t>Office repairs/improvement / H&amp;S OFFICE</t>
  </si>
  <si>
    <t>% CHANGE</t>
  </si>
  <si>
    <t>INCOME Leaseholders</t>
  </si>
  <si>
    <t xml:space="preserve">Leaseholders Accounts </t>
  </si>
  <si>
    <t>Tenants Accounts</t>
  </si>
  <si>
    <t>KEYS:</t>
  </si>
  <si>
    <t>LHA</t>
  </si>
  <si>
    <t>LEASEHOLDER ACCOUNTS</t>
  </si>
  <si>
    <t>TA</t>
  </si>
  <si>
    <t>TENANTS ACCOUNTS</t>
  </si>
  <si>
    <t>PREPMNT</t>
  </si>
  <si>
    <t>PREPAYMENTS</t>
  </si>
  <si>
    <t>PPD</t>
  </si>
  <si>
    <t>PREPAYMENTS DETAIL</t>
  </si>
  <si>
    <t>ACRUALS</t>
  </si>
  <si>
    <t xml:space="preserve">ACCRUALS </t>
  </si>
  <si>
    <t>DI</t>
  </si>
  <si>
    <t>DEFERRED INCOME</t>
  </si>
  <si>
    <t>DID</t>
  </si>
  <si>
    <t>DEFERRED INCOME DETAIL</t>
  </si>
  <si>
    <t xml:space="preserve">AI </t>
  </si>
  <si>
    <t>ACCRUED INCOME</t>
  </si>
  <si>
    <t>AED</t>
  </si>
  <si>
    <t>ACCRUED EXPENSE DETAIL</t>
  </si>
  <si>
    <t>A/c 
Codes</t>
  </si>
  <si>
    <t>Budget 
Lines</t>
  </si>
  <si>
    <t>1:1</t>
  </si>
  <si>
    <t>LH SC Management allowance</t>
  </si>
  <si>
    <t>1:3</t>
  </si>
  <si>
    <t>1:4</t>
  </si>
  <si>
    <t>1:5</t>
  </si>
  <si>
    <t>2:1</t>
  </si>
  <si>
    <t>2:2</t>
  </si>
  <si>
    <t>2:3</t>
  </si>
  <si>
    <t>2:4</t>
  </si>
  <si>
    <t>2:5</t>
  </si>
  <si>
    <t>2:6</t>
  </si>
  <si>
    <t>2:7</t>
  </si>
  <si>
    <t>2:8</t>
  </si>
  <si>
    <t>2:9</t>
  </si>
  <si>
    <t>2:10</t>
  </si>
  <si>
    <t>2:12</t>
  </si>
  <si>
    <t>Entryphone repair Electronic</t>
  </si>
  <si>
    <t>2:13</t>
  </si>
  <si>
    <t>2:14</t>
  </si>
  <si>
    <t>2:15</t>
  </si>
  <si>
    <t>2:16</t>
  </si>
  <si>
    <t>2:17</t>
  </si>
  <si>
    <t>2:18</t>
  </si>
  <si>
    <t>2:19</t>
  </si>
  <si>
    <t>2:20</t>
  </si>
  <si>
    <t>2:21</t>
  </si>
  <si>
    <t>2:22</t>
  </si>
  <si>
    <t>3:1</t>
  </si>
  <si>
    <t>3:2</t>
  </si>
  <si>
    <t>3:3</t>
  </si>
  <si>
    <t>3:4</t>
  </si>
  <si>
    <t>3:5</t>
  </si>
  <si>
    <t>3:6</t>
  </si>
  <si>
    <t>3:7</t>
  </si>
  <si>
    <t>3:8</t>
  </si>
  <si>
    <t>3:9</t>
  </si>
  <si>
    <t>3:10</t>
  </si>
  <si>
    <t>3:11</t>
  </si>
  <si>
    <t>3:12</t>
  </si>
  <si>
    <t>3:13</t>
  </si>
  <si>
    <t>4:1</t>
  </si>
  <si>
    <t>4:2</t>
  </si>
  <si>
    <t>Office water rates</t>
  </si>
  <si>
    <t>4:3</t>
  </si>
  <si>
    <t>4:4</t>
  </si>
  <si>
    <t>4:5</t>
  </si>
  <si>
    <t>Telephone &amp; internet</t>
  </si>
  <si>
    <t>4:6</t>
  </si>
  <si>
    <t>4:7</t>
  </si>
  <si>
    <t>4:8</t>
  </si>
  <si>
    <t>4:9</t>
  </si>
  <si>
    <t>4:11</t>
  </si>
  <si>
    <t>4:12</t>
  </si>
  <si>
    <t>4:13</t>
  </si>
  <si>
    <t>4:14</t>
  </si>
  <si>
    <t>4:15</t>
  </si>
  <si>
    <t>4:16</t>
  </si>
  <si>
    <t>4:17</t>
  </si>
  <si>
    <t>4:18</t>
  </si>
  <si>
    <t>4:19</t>
  </si>
  <si>
    <t>4:20</t>
  </si>
  <si>
    <t>4:21</t>
  </si>
  <si>
    <t>4:22</t>
  </si>
  <si>
    <t>4:23</t>
  </si>
  <si>
    <t>4:24</t>
  </si>
  <si>
    <t>4:25</t>
  </si>
  <si>
    <t>4:26</t>
  </si>
  <si>
    <t>4:27</t>
  </si>
  <si>
    <t>4:28</t>
  </si>
  <si>
    <t>4:29</t>
  </si>
  <si>
    <t>4:30</t>
  </si>
  <si>
    <t>4:31</t>
  </si>
  <si>
    <t>15% Shared costs</t>
  </si>
  <si>
    <t>3. Based on maximum of SSP can pay to each staff, currently the each staffs gets 28 weeks of SSP @ £95.85 per week (£2,683.80).</t>
  </si>
  <si>
    <t>Total Expenditure - Tenant Costs</t>
  </si>
  <si>
    <r>
      <t>Holiday Pay</t>
    </r>
    <r>
      <rPr>
        <b/>
        <sz val="10"/>
        <color rgb="FFFF0000"/>
        <rFont val="Calibri"/>
        <family val="2"/>
        <scheme val="minor"/>
      </rPr>
      <t xml:space="preserve"> (See note 1)</t>
    </r>
  </si>
  <si>
    <r>
      <t>NIC</t>
    </r>
    <r>
      <rPr>
        <b/>
        <sz val="10"/>
        <color rgb="FFFF0000"/>
        <rFont val="Calibri"/>
        <family val="2"/>
        <scheme val="minor"/>
      </rPr>
      <t xml:space="preserve"> (See note 2)</t>
    </r>
  </si>
  <si>
    <t>Ibrahim</t>
  </si>
  <si>
    <t>Hours P/W</t>
  </si>
  <si>
    <t>Annualised Hours</t>
  </si>
  <si>
    <t>Avg rate per hour</t>
  </si>
  <si>
    <t>Total</t>
  </si>
  <si>
    <t xml:space="preserve">TOTAL EXPENDITURE Leaseholders </t>
  </si>
  <si>
    <t>Mohamed</t>
  </si>
  <si>
    <t>Entryphone repair Mechanical</t>
  </si>
  <si>
    <t>Pension contribution - Office staff (EM, FO &amp; A)</t>
  </si>
  <si>
    <t>External Finance contractor, no longer hired.</t>
  </si>
  <si>
    <t>Corporation tax payable on net interest earnings.</t>
  </si>
  <si>
    <t>Office Administrator</t>
  </si>
  <si>
    <t>Paladin bin hire/recycling</t>
  </si>
  <si>
    <t>As per WBC provision will remain unchanged.</t>
  </si>
  <si>
    <t>Tenant plan repair labour</t>
  </si>
  <si>
    <t>Void allowance</t>
  </si>
  <si>
    <t>REMARKS</t>
  </si>
  <si>
    <t>NOTES TO THE BUDGET</t>
  </si>
  <si>
    <t>Overall allowances towards Tenants has been adjusted in line with LHA at the rate of 6%.</t>
  </si>
  <si>
    <t>No longer applicable.</t>
  </si>
  <si>
    <t>External Caretaker Contractors - Start cleaning</t>
  </si>
  <si>
    <t>Agreed to keep at the same level as before.</t>
  </si>
  <si>
    <t>Income &amp; Expenditure Consolidated Leaseholders &amp; Tenants</t>
  </si>
  <si>
    <t>Income &amp; Expenditure  Leaseholders Only</t>
  </si>
  <si>
    <t>Income &amp; Expenditure  Tenants Only</t>
  </si>
  <si>
    <t xml:space="preserve">INCOME </t>
  </si>
  <si>
    <t>Revised from 24k to 14k.</t>
  </si>
  <si>
    <t>Revised from 3.5kk to £500.</t>
  </si>
  <si>
    <t>TMO/CO-OP Allowance Calculation</t>
  </si>
  <si>
    <t>Goulden House 2021-22</t>
  </si>
  <si>
    <t>No. Props</t>
  </si>
  <si>
    <t>Non Res</t>
  </si>
  <si>
    <t>Housing Contract:</t>
  </si>
  <si>
    <t>WJ</t>
  </si>
  <si>
    <t>Tenants</t>
  </si>
  <si>
    <t>Leaseholders</t>
  </si>
  <si>
    <t>Summary of Allowances</t>
  </si>
  <si>
    <t>£</t>
  </si>
  <si>
    <t xml:space="preserve"> Management Allowances (TenantS)</t>
  </si>
  <si>
    <t>Management</t>
  </si>
  <si>
    <t>Estate Service Costs (LH</t>
  </si>
  <si>
    <t>Estate Costs</t>
  </si>
  <si>
    <t>Committee Admin Allowances (LH)</t>
  </si>
  <si>
    <t>Committee Administration</t>
  </si>
  <si>
    <t>Insurance Allowances (LH)</t>
  </si>
  <si>
    <t>Insurance</t>
  </si>
  <si>
    <t>Client Costs (LH)</t>
  </si>
  <si>
    <t>Client Costs</t>
  </si>
  <si>
    <t>VARIANCE</t>
  </si>
  <si>
    <t>Management Allowance</t>
  </si>
  <si>
    <t>Total/Unit</t>
  </si>
  <si>
    <t>No.</t>
  </si>
  <si>
    <t>2021-22</t>
  </si>
  <si>
    <t>Contract WJ</t>
  </si>
  <si>
    <t>(1)</t>
  </si>
  <si>
    <t>Tenant</t>
  </si>
  <si>
    <t xml:space="preserve">Estate cleaning </t>
  </si>
  <si>
    <t>Leaseholder</t>
  </si>
  <si>
    <t>Resident</t>
  </si>
  <si>
    <t>Emergency Response</t>
  </si>
  <si>
    <t>Minor Works</t>
  </si>
  <si>
    <t>Non-Resident</t>
  </si>
  <si>
    <t>Estate/Block Costs</t>
  </si>
  <si>
    <t>(2)</t>
  </si>
  <si>
    <t>Garden Maintenance</t>
  </si>
  <si>
    <t>Tree Works</t>
  </si>
  <si>
    <t>Cleaning</t>
  </si>
  <si>
    <t>Window Cleaning</t>
  </si>
  <si>
    <t>(3)</t>
  </si>
  <si>
    <t>Lighting/Electricity</t>
  </si>
  <si>
    <t>(4)</t>
  </si>
  <si>
    <t>Paladins</t>
  </si>
  <si>
    <t>(5)</t>
  </si>
  <si>
    <t>Repairs (all residents)</t>
  </si>
  <si>
    <t>(6)</t>
  </si>
  <si>
    <t>Repairs (tenant only)</t>
  </si>
  <si>
    <t>Vacants</t>
  </si>
  <si>
    <t>(7)</t>
  </si>
  <si>
    <t>Gas</t>
  </si>
  <si>
    <t>EntryCall</t>
  </si>
  <si>
    <t>Dry Risers</t>
  </si>
  <si>
    <t>Extractor fans</t>
  </si>
  <si>
    <t>(8)</t>
  </si>
  <si>
    <t>Ex Decs</t>
  </si>
  <si>
    <t>Insurance (repairs all residents)</t>
  </si>
  <si>
    <t>Insurance (repairs tenants)</t>
  </si>
  <si>
    <t>Lump Sum</t>
  </si>
  <si>
    <t>Per Unit</t>
  </si>
  <si>
    <t>No.Units</t>
  </si>
  <si>
    <t>(9)</t>
  </si>
  <si>
    <t>WBC-retained functions not included in allowance calculation if applicable:</t>
  </si>
  <si>
    <t>Lift Maintenance</t>
  </si>
  <si>
    <t>Water Sampling</t>
  </si>
  <si>
    <t>Extractor Fans</t>
  </si>
  <si>
    <t>Lightning Conductors</t>
  </si>
  <si>
    <t>Heating contract</t>
  </si>
  <si>
    <t>Inflation Rates Applicable 2021/22</t>
  </si>
  <si>
    <t>% Increase</t>
  </si>
  <si>
    <t>RPI</t>
  </si>
  <si>
    <t xml:space="preserve">NB. THIS IS A DRAFT ESTIMATE AND NOT A FINAL OFFER </t>
  </si>
  <si>
    <t>SUSPENSE ACCOUNT</t>
  </si>
  <si>
    <t>TENANT PLAN REPAIR LABOUR</t>
  </si>
  <si>
    <t>SAGE PROGRAM SUPPORT</t>
  </si>
  <si>
    <t>VOID PROPERTY COST</t>
  </si>
  <si>
    <t>TENANT REPAIRS - MATERIALS</t>
  </si>
  <si>
    <t>TENANT REPAIRS - CONTRACTORS</t>
  </si>
  <si>
    <t>AUDIT FEES</t>
  </si>
  <si>
    <t>BANK CHARGES</t>
  </si>
  <si>
    <t>TAX EXPENSES</t>
  </si>
  <si>
    <t>DEPRECIATION</t>
  </si>
  <si>
    <t>OFFICE SECURITY</t>
  </si>
  <si>
    <t>COPIER EXPENSES ( Toner &amp; Usage )</t>
  </si>
  <si>
    <t>OFFICE ELETRICITY</t>
  </si>
  <si>
    <t>OFFICE REPAIRS &amp; IMPROVEMENTS</t>
  </si>
  <si>
    <t>STATIONERY</t>
  </si>
  <si>
    <t>SUBSCRIPTIONS &amp; REGISTRATION FEES</t>
  </si>
  <si>
    <t>POSTAGE &amp; PRINTING</t>
  </si>
  <si>
    <t>IT SUPPORT, BACKUP AND SECURITY</t>
  </si>
  <si>
    <t>IT / WEBSITE , DOMAIN , HOSTING , OFFICE 365</t>
  </si>
  <si>
    <t>OFFICE TELEPHONE</t>
  </si>
  <si>
    <t>INSURANCE POLICIES</t>
  </si>
  <si>
    <t>OFFICE CLEANING</t>
  </si>
  <si>
    <t>OFFICE RATES</t>
  </si>
  <si>
    <t>OFFICE WATER RATE</t>
  </si>
  <si>
    <t>OFFICE RENT</t>
  </si>
  <si>
    <t>BULK RUBBISH FEES</t>
  </si>
  <si>
    <t>PALADIN BIN RENTAL WBC</t>
  </si>
  <si>
    <t>GARDEN MAINTENANCE</t>
  </si>
  <si>
    <t>B/E REPAIRS - MATERIALS</t>
  </si>
  <si>
    <t>EMERGENCY PATROL CONTRACT</t>
  </si>
  <si>
    <t>E'PHONE REPAIRS - ELECTRONIC</t>
  </si>
  <si>
    <t>ENTRYPHONE KEYS STOCK</t>
  </si>
  <si>
    <t>PEST CONTROL</t>
  </si>
  <si>
    <t>Drain &amp; Gutter Repair / Clearance</t>
  </si>
  <si>
    <t>B/E REPAIRS - CONTRACTORS</t>
  </si>
  <si>
    <t>COMMUNAL ELECTRICITY</t>
  </si>
  <si>
    <t>OFFICE CONTRACTOR - Accountancy</t>
  </si>
  <si>
    <t>PENSIONS CONTRIBUTIONS - OFFICE</t>
  </si>
  <si>
    <t>EMPLOYER's NIC - CARETAKER</t>
  </si>
  <si>
    <t>EMPLOYER's NIC - OFFICE STAFF</t>
  </si>
  <si>
    <t>STAFF GROSS PAY - CARETAKER</t>
  </si>
  <si>
    <t>STAFF GROSS PAY - OFFICE STAFF</t>
  </si>
  <si>
    <t>INSURANCE CLAIMS</t>
  </si>
  <si>
    <t>OTHER INCOME</t>
  </si>
  <si>
    <t>BANK INTEREST RECEIVED</t>
  </si>
  <si>
    <t>L.H SERVICE CHARGE INCOME</t>
  </si>
  <si>
    <t>INSURANCE ALLOWANCE</t>
  </si>
  <si>
    <t>ESTATE SERVICES ALLOWANCE</t>
  </si>
  <si>
    <t>REPAIRS ALLOWANCE</t>
  </si>
  <si>
    <t>STORESHED ALLOWANCE</t>
  </si>
  <si>
    <t>MANAGEMENT &amp; MAINTENANCE ALLOWANCES</t>
  </si>
  <si>
    <t>L.H EX DEC RESERVE</t>
  </si>
  <si>
    <t>TENANT CYCLICAL MAINTENANCE RESERVE- B/S</t>
  </si>
  <si>
    <t>SHARE CAPITAL</t>
  </si>
  <si>
    <t>INCOME &amp; EXPENDITURE A/C</t>
  </si>
  <si>
    <t>PENSION CONTROL ACCOUNT</t>
  </si>
  <si>
    <t>VAT ON EXPENDITURE (CTL A/C)</t>
  </si>
  <si>
    <t>VAT LIABILITY ACC (CTL A/C)</t>
  </si>
  <si>
    <t>ENTRYPHONE KEY DEPOSITS</t>
  </si>
  <si>
    <t>CORPORATION TAX (BS)</t>
  </si>
  <si>
    <t>BIKESHELTER KEY DEPOSIT</t>
  </si>
  <si>
    <t>Deferred Income / Donation / Bikeshed Income</t>
  </si>
  <si>
    <t>ACCRUALS</t>
  </si>
  <si>
    <t>SUNDRY CREDITORS</t>
  </si>
  <si>
    <t>CREDITORS CONTROL ACCOUNT</t>
  </si>
  <si>
    <t>PROVISION FOR BAD DEBTS</t>
  </si>
  <si>
    <t>MONEYMASTER BANK A/C ( 11384007 )</t>
  </si>
  <si>
    <t>MANAGEMENT CURRENT BANK A/C ( 11261924 )</t>
  </si>
  <si>
    <t>RENT REPAYABLE TO WBC</t>
  </si>
  <si>
    <t>KEY AND BARRRELS STOCK</t>
  </si>
  <si>
    <t>SUNDRY DEBTORS</t>
  </si>
  <si>
    <t>DEBTORS CONTROL ACCOUNT</t>
  </si>
  <si>
    <t>DEPRECIATION FOR BLOCK TOOLS</t>
  </si>
  <si>
    <t>B/E TOOLS &amp; EQUIPMENT</t>
  </si>
  <si>
    <t>DEPRECIATION COMPUTER EQP</t>
  </si>
  <si>
    <t>COMPUTER HARDWARE+SOFTWARE</t>
  </si>
  <si>
    <t>DEPRECIATION OFFICE EQPT</t>
  </si>
  <si>
    <t>OFFICE FURNITURE &amp; EQUIPMENT</t>
  </si>
  <si>
    <t>Credit</t>
  </si>
  <si>
    <t>Debit</t>
  </si>
  <si>
    <t>N/C</t>
  </si>
  <si>
    <t>Estate cleaning (External Cleaners)</t>
  </si>
  <si>
    <t>STAFFS NATIONAL INSURANCE - Cleaners</t>
  </si>
  <si>
    <t>Reduced in line with last year's actual</t>
  </si>
  <si>
    <t>Drain, Gutter &amp; Flat Roof clearance</t>
  </si>
  <si>
    <t xml:space="preserve">The Pestgone amended to reflect actual contractual amount for the year. </t>
  </si>
  <si>
    <t>Gross staff salary - Office (EM, FO &amp; A Gross Salaries)</t>
  </si>
  <si>
    <t>As Major Works anticipated, there will be more legal documents be printed for distribution to the residents.</t>
  </si>
  <si>
    <t>Anticipated that events may take place moving forward.</t>
  </si>
  <si>
    <t>Some of the material costs are covered under Block repair costs (6020), hence reduced to reflect at this level.</t>
  </si>
  <si>
    <t>Adjusted line with last year's actual.</t>
  </si>
  <si>
    <t>This represents change of Keys to the Common Areas including Main Entrances that are non-rechargeable from the Residents.</t>
  </si>
  <si>
    <t>Bulk Waste collection includes payments made to Let US Group for various collections during the year. The actual amount has increased and the Budgeted amount has been set inline with actual cost.</t>
  </si>
  <si>
    <t>The telephone includes, BT cloud services, 3 broadbands, including the Community Room Broadband, BT Cloud calling and use of Mobile Sim card for Door entry system. Adjusted to reflect inline with actual cost incurred.</t>
  </si>
  <si>
    <t>Printing, Postage &amp; Stationery</t>
  </si>
  <si>
    <t>Based on actual cost per annum</t>
  </si>
  <si>
    <t>Tenant costs</t>
  </si>
  <si>
    <t>Leaseholder costs</t>
  </si>
  <si>
    <t>Agreed to accounts</t>
  </si>
  <si>
    <t>Tenant repairs</t>
  </si>
  <si>
    <t>Coop Office &amp; Admin</t>
  </si>
  <si>
    <t>M&amp;M</t>
  </si>
  <si>
    <t>Bulk Rubbish</t>
  </si>
  <si>
    <t>Block Repairs</t>
  </si>
  <si>
    <t>Block Costs</t>
  </si>
  <si>
    <t>Paladin Bin</t>
  </si>
  <si>
    <t>Gardening</t>
  </si>
  <si>
    <t>Emergency Cover</t>
  </si>
  <si>
    <t>Entryphone</t>
  </si>
  <si>
    <t>Electricity</t>
  </si>
  <si>
    <t>Salaries</t>
  </si>
  <si>
    <t>Variance</t>
  </si>
  <si>
    <t>Budget</t>
  </si>
  <si>
    <t>Tenant Direct</t>
  </si>
  <si>
    <t>Tenant Apportion</t>
  </si>
  <si>
    <t>O&amp;A</t>
  </si>
  <si>
    <t>Block repairs</t>
  </si>
  <si>
    <t>Classification</t>
  </si>
  <si>
    <t>Final</t>
  </si>
  <si>
    <t>audit adjustment</t>
  </si>
  <si>
    <t>Draft</t>
  </si>
  <si>
    <t>Sage</t>
  </si>
  <si>
    <t>Over/(under)</t>
  </si>
  <si>
    <t>Total Staffing Costs (Tenants 21% only)</t>
  </si>
  <si>
    <t>Estate Cleaner's Part time Gross Salaries</t>
  </si>
  <si>
    <t>Estate Cleaner</t>
  </si>
  <si>
    <t>STAFFS NATIONAL INSURANCE - Estate Cleaner</t>
  </si>
  <si>
    <t>PENSIONS CONTRIBUTIONS - Estate Cleaner</t>
  </si>
  <si>
    <t>STAFFS COVER (OFFICE)</t>
  </si>
  <si>
    <t>STAFFS COVER (CARETAKER )</t>
  </si>
  <si>
    <t>4:10</t>
  </si>
  <si>
    <t xml:space="preserve">OFFICE CLEANING </t>
  </si>
  <si>
    <t>The stationery cost includes, Data Shred, Stationeries and postage and adjusted in line with current expenses.</t>
  </si>
  <si>
    <t>IT Support cost &amp; security adjusted in line with actual costs.</t>
  </si>
  <si>
    <t>Yearly Gross 22/23</t>
  </si>
  <si>
    <t>Estatte Cleaner</t>
  </si>
  <si>
    <t>M I M Thowfeek</t>
  </si>
  <si>
    <t>Margarete Earle</t>
  </si>
  <si>
    <t>Annie Gleeson</t>
  </si>
  <si>
    <t>Walter Richard Barnes</t>
  </si>
  <si>
    <t>1. Calculations are estimate using staffs annual leave entitlement days X hourly rate = Total X 60 % of that used as budget for staffs cover cost (Incl of staffs covers for admin &amp; cleaner)</t>
  </si>
  <si>
    <t>Inflation impact @5.2%</t>
  </si>
  <si>
    <t>Holiday Entitlement (On pro-rata and 35 hours full time hours)</t>
  </si>
  <si>
    <t>TOTAL</t>
  </si>
  <si>
    <t>Mon, Wed and Sat</t>
  </si>
  <si>
    <t>Thur to Fri</t>
  </si>
  <si>
    <t>Mon to Wed</t>
  </si>
  <si>
    <t>Mon to Fri</t>
  </si>
  <si>
    <r>
      <t>SSP</t>
    </r>
    <r>
      <rPr>
        <b/>
        <sz val="10"/>
        <color rgb="FFFF0000"/>
        <rFont val="Calibri"/>
        <family val="2"/>
        <scheme val="minor"/>
      </rPr>
      <t xml:space="preserve"> (See note 3)</t>
    </r>
  </si>
  <si>
    <t>ADD: 15% Shared costs</t>
  </si>
  <si>
    <t>2.5 times increase anticipated due to Energy Crisis, 2-3 years deal is preferred, as per available current information.</t>
  </si>
  <si>
    <t>CCTV was installed in April 2020 and the One year Warranty has expired, hence, the cost of Maintenance including labour and Parts will be of our responsibility. We received a confirmed sum of under £400 per annum for one year of Maintenance, therefore, adjusted accordingly to reflect this.</t>
  </si>
  <si>
    <t>2:23</t>
  </si>
  <si>
    <t>Inflation Rates Applicable 2022/23</t>
  </si>
  <si>
    <t>2022-23</t>
  </si>
  <si>
    <t>Goulden House 2022-23</t>
  </si>
  <si>
    <t>1:2</t>
  </si>
  <si>
    <t>1:6</t>
  </si>
  <si>
    <t>1:7</t>
  </si>
  <si>
    <t>1:8</t>
  </si>
  <si>
    <t>LH</t>
  </si>
  <si>
    <t>TENANT</t>
  </si>
  <si>
    <t>Current budget added with £10,000 as CF.</t>
  </si>
  <si>
    <t>Management allowance - non-residential only</t>
  </si>
  <si>
    <t>9018</t>
  </si>
  <si>
    <t>SAGE ACCOUNTS &amp; PAYROLL</t>
  </si>
  <si>
    <t>9013</t>
  </si>
  <si>
    <t>9006</t>
  </si>
  <si>
    <t>9001</t>
  </si>
  <si>
    <t>9000</t>
  </si>
  <si>
    <t>8057</t>
  </si>
  <si>
    <t>COMMITTEE TRAINING</t>
  </si>
  <si>
    <t>8056</t>
  </si>
  <si>
    <t>8040</t>
  </si>
  <si>
    <t>8010</t>
  </si>
  <si>
    <t>COMMUNITY EVENTS</t>
  </si>
  <si>
    <t>7160</t>
  </si>
  <si>
    <t>STAFF SUBS &amp; TRAVEL</t>
  </si>
  <si>
    <t>7120</t>
  </si>
  <si>
    <t>COPIER EXPENSES (Toner &amp; Usage)</t>
  </si>
  <si>
    <t>7070</t>
  </si>
  <si>
    <t>OFFICE EQUIPMENT</t>
  </si>
  <si>
    <t>7060</t>
  </si>
  <si>
    <t>7050</t>
  </si>
  <si>
    <t>7040</t>
  </si>
  <si>
    <t>7031</t>
  </si>
  <si>
    <t>PRINTING, POSTAGE &amp; STATIONERY</t>
  </si>
  <si>
    <t>7030</t>
  </si>
  <si>
    <t>IT SUPPORT, BACKUP &amp; SECURITY</t>
  </si>
  <si>
    <t>7022</t>
  </si>
  <si>
    <t>WEBSITE, DOMAIN, HOSTING &amp; OFFICE 365</t>
  </si>
  <si>
    <t>7021</t>
  </si>
  <si>
    <t>OFFICE TELEPHONE, FAX &amp; INTERNET</t>
  </si>
  <si>
    <t>7020</t>
  </si>
  <si>
    <t>7010</t>
  </si>
  <si>
    <t>7005</t>
  </si>
  <si>
    <t>7001</t>
  </si>
  <si>
    <t>7000</t>
  </si>
  <si>
    <t>6190</t>
  </si>
  <si>
    <t>BALLPLAY AREA REPAIRS</t>
  </si>
  <si>
    <t>6185</t>
  </si>
  <si>
    <t>6175</t>
  </si>
  <si>
    <t>6160</t>
  </si>
  <si>
    <t>6147</t>
  </si>
  <si>
    <t>BLOCK TOOLS</t>
  </si>
  <si>
    <t>6141</t>
  </si>
  <si>
    <t>6130</t>
  </si>
  <si>
    <t>E'PHONE REPAIRS - MECHANICAL</t>
  </si>
  <si>
    <t>6061</t>
  </si>
  <si>
    <t>6060</t>
  </si>
  <si>
    <t>6045</t>
  </si>
  <si>
    <t>6040</t>
  </si>
  <si>
    <t>RECHARGEABLE REPAIRS</t>
  </si>
  <si>
    <t>6039</t>
  </si>
  <si>
    <t>ESTATE LIGHTING LABOURS</t>
  </si>
  <si>
    <t>6035</t>
  </si>
  <si>
    <t>ESTATE LIGHTING MATERIALS</t>
  </si>
  <si>
    <t>6034</t>
  </si>
  <si>
    <t>6027</t>
  </si>
  <si>
    <t>6020</t>
  </si>
  <si>
    <t>6000</t>
  </si>
  <si>
    <t>STAFF RECRUITMENT COSTS</t>
  </si>
  <si>
    <t>5030</t>
  </si>
  <si>
    <t>5020</t>
  </si>
  <si>
    <t>50021</t>
  </si>
  <si>
    <t>5002</t>
  </si>
  <si>
    <t>50011</t>
  </si>
  <si>
    <t>5001</t>
  </si>
  <si>
    <t>4090</t>
  </si>
  <si>
    <t>RECHARGED REPAIRS</t>
  </si>
  <si>
    <t>4065</t>
  </si>
  <si>
    <t>4030</t>
  </si>
  <si>
    <t>4010</t>
  </si>
  <si>
    <t>4006</t>
  </si>
  <si>
    <t>MANAGEMENT, MAINT ALLOW</t>
  </si>
  <si>
    <t>4001</t>
  </si>
  <si>
    <t>4000</t>
  </si>
  <si>
    <t>3300</t>
  </si>
  <si>
    <t>2230</t>
  </si>
  <si>
    <t>NET SALARIES CONTROL ACCOUNT</t>
  </si>
  <si>
    <t>2220</t>
  </si>
  <si>
    <t>PAYE CONTROL ACCOUNT</t>
  </si>
  <si>
    <t>2210</t>
  </si>
  <si>
    <t>2202</t>
  </si>
  <si>
    <t>2201</t>
  </si>
  <si>
    <t>VAT ON INCOME (CTL A/C)</t>
  </si>
  <si>
    <t>2200</t>
  </si>
  <si>
    <t>2120</t>
  </si>
  <si>
    <t>2109</t>
  </si>
  <si>
    <t>2100</t>
  </si>
  <si>
    <t>1220</t>
  </si>
  <si>
    <t>1205</t>
  </si>
  <si>
    <t>1200</t>
  </si>
  <si>
    <t>1106</t>
  </si>
  <si>
    <t>1103</t>
  </si>
  <si>
    <t>1100</t>
  </si>
  <si>
    <t>1020</t>
  </si>
  <si>
    <t>1010</t>
  </si>
  <si>
    <t>Tran No. To:</t>
  </si>
  <si>
    <t>Tran No. From:</t>
  </si>
  <si>
    <t>Dept To:</t>
  </si>
  <si>
    <t>Tran Date To:</t>
  </si>
  <si>
    <t>Dept From:</t>
  </si>
  <si>
    <t>Tran Date From:</t>
  </si>
  <si>
    <t>Transactional Trial Balance</t>
  </si>
  <si>
    <t>14:20:07</t>
  </si>
  <si>
    <t>Time:</t>
  </si>
  <si>
    <t>Page:</t>
  </si>
  <si>
    <t>Date:</t>
  </si>
  <si>
    <t>Goulden House Co-operative Ltd</t>
  </si>
  <si>
    <t>84% LH</t>
  </si>
  <si>
    <t>16% Te</t>
  </si>
  <si>
    <t>LH 84%</t>
  </si>
  <si>
    <t>TE 16%</t>
  </si>
  <si>
    <t>4:32</t>
  </si>
  <si>
    <t>OFFICE BUSINESS RATES</t>
  </si>
  <si>
    <t>OFFICE EQUIPMENTS (COST)</t>
  </si>
  <si>
    <t>1015</t>
  </si>
  <si>
    <t>OFFICE EQUIPMENTS (DEPN B/FD)</t>
  </si>
  <si>
    <t>COMPUTER EQUIPMENTS (COST)</t>
  </si>
  <si>
    <t>1025</t>
  </si>
  <si>
    <t>COMPUTER EQUIPMENTS (DEPN B/FD)</t>
  </si>
  <si>
    <t>8000</t>
  </si>
  <si>
    <t>3200</t>
  </si>
  <si>
    <t>4002</t>
  </si>
  <si>
    <t>4003</t>
  </si>
  <si>
    <t>4005</t>
  </si>
  <si>
    <t>4095</t>
  </si>
  <si>
    <t>5045</t>
  </si>
  <si>
    <t>6026</t>
  </si>
  <si>
    <t>7002</t>
  </si>
  <si>
    <t>7032</t>
  </si>
  <si>
    <t>STATIONERY (DON'T USE)</t>
  </si>
  <si>
    <t>7080</t>
  </si>
  <si>
    <t>8005</t>
  </si>
  <si>
    <t>8060</t>
  </si>
  <si>
    <t>CONTINGENCIES FUND</t>
  </si>
  <si>
    <t>Monthly Depn charge - OFFICE Equip</t>
  </si>
  <si>
    <t>Monthly Depn charge - Computer Equip</t>
  </si>
  <si>
    <t>SCHEDULE OF DEPRECIATION</t>
  </si>
  <si>
    <t>Purchase date</t>
  </si>
  <si>
    <t>DEPRECIATION END DATE</t>
  </si>
  <si>
    <t xml:space="preserve">No of Years </t>
  </si>
  <si>
    <t>COST</t>
  </si>
  <si>
    <t>Per Month</t>
  </si>
  <si>
    <t>DEPN FOR 2024</t>
  </si>
  <si>
    <t>Purpose/Used by</t>
  </si>
  <si>
    <t>CCTV INSTALED VIA PRIME SECURITY</t>
  </si>
  <si>
    <t>2xBalmoral 5ft Teak Park Bench</t>
  </si>
  <si>
    <t>New Intercom System in Block A</t>
  </si>
  <si>
    <t>New Intercom System in Block C</t>
  </si>
  <si>
    <t>Rectangular Folding Meeting Tables</t>
  </si>
  <si>
    <t>Upholstered Folding Chair</t>
  </si>
  <si>
    <t>Lexmark Printer in use</t>
  </si>
  <si>
    <t>Laptop for Muhamad</t>
  </si>
  <si>
    <t>HP - 14s-dq2510na 14" Laptop - Intel® CoreTM i3, 256 GB SSD,</t>
  </si>
  <si>
    <t>Laptop for Margaret</t>
  </si>
  <si>
    <t>HP ProDesk 400 G6 - Core i5 10500T 16GB 512GBW10P (SN: 8CC20703HH)</t>
  </si>
  <si>
    <t>Admin Computer</t>
  </si>
  <si>
    <t>Dr</t>
  </si>
  <si>
    <t>Cr</t>
  </si>
  <si>
    <t>Monthly depreciation charge</t>
  </si>
  <si>
    <t>Includes only Flat Roof annual Maintenance cost only.</t>
  </si>
  <si>
    <t>A provision towards staff welfare included.</t>
  </si>
  <si>
    <t>See 'FAR' for details, due to capitalisation of various assets during the year, including CCTV and Entry Phone Systems, the Depreciation cost has increased significantly.</t>
  </si>
  <si>
    <t>CONSOLIDATED (Leaseholder &amp; Tenants) Accounts</t>
  </si>
  <si>
    <t>LESS: 15% Shared costs</t>
  </si>
  <si>
    <t>Total Staffing Cost - Tenant only cost (21% as specified by WBC)</t>
  </si>
  <si>
    <t>Requires some computer upgrading.</t>
  </si>
  <si>
    <t>CCTV</t>
  </si>
  <si>
    <t>6315</t>
  </si>
  <si>
    <t>2110</t>
  </si>
  <si>
    <t>17:32:50</t>
  </si>
  <si>
    <t xml:space="preserve">
VARIANCE</t>
  </si>
  <si>
    <t>Original value</t>
  </si>
  <si>
    <t>Cost of Communal Electricity has been taken into account based on current pricing.</t>
  </si>
  <si>
    <t>Anticipated towards maintenance, requires some repairs throughout the year, including Astro turf replacement.</t>
  </si>
  <si>
    <t>Adjusted to actual fee, net of VAT.</t>
  </si>
  <si>
    <t>Recharged income</t>
  </si>
  <si>
    <t>Office rent is subject to rent review every five years and the last Review was completed on 06/07/2021 and the next renew will be in 2026. As per current rent review, monthly renal is £168.50, costing 2022 per annum, the amount has been reflected on Budget as it stands.</t>
  </si>
  <si>
    <t>Overall Uplift applied as per WBC's Instructions.</t>
  </si>
  <si>
    <t>STAFF NATIONAL INSURANCE - Estate Cleaner</t>
  </si>
  <si>
    <t>Star Cleaning Saturday</t>
  </si>
  <si>
    <t>Star Cleaning Sunday</t>
  </si>
  <si>
    <t>No National Insurance anticipated as Estate Cleaner post remain vacant.</t>
  </si>
  <si>
    <t>No Wages anticipated as Estate Cleaner post remain vacant.</t>
  </si>
  <si>
    <t>Star Cleaning Bank Holiday cover</t>
  </si>
  <si>
    <t>Uplift applied as per WBC's instruction</t>
  </si>
  <si>
    <t>The actual cost for 2023/24 includes installation of Entryphone Systems, which are fully rechargeable, hence, £4,900 * 2 has been agreed with Symonic Technology Limited, As the said sum will be fully recouped, a provision for Annual Maintenance included to cover All Entrances (A, B &amp; C).</t>
  </si>
  <si>
    <t>Repairs &amp; purchase of handsets for the Sub-entries will be minimal due to upgrading of Digi Pad in 2022.</t>
  </si>
  <si>
    <t>Weekend/Cleaner cover</t>
  </si>
  <si>
    <t>Covered under Cleaner contractors and under Permanent staff wages. Therefore, no provision required.</t>
  </si>
  <si>
    <t>This is the amount paid to the External Cleaners reflected inline with contracted hours, plus Cleaner cover additional cost added to this, as the staff will be absorbed via Start Cleaning.</t>
  </si>
  <si>
    <t>From April 2023 onwards it was agreed that Earthgardens performs 18 visit per year, where April to Sept, during regrowth period, Earthgardens visits 2 times a month and from October to March one visits a month and it is agreed to increase per visit charges to £575 per visit toward Garden Maintenance plus £400 budgeted towards Weedkillers.</t>
  </si>
  <si>
    <t>Goulden House Co-Operative Ltd - LEASEHOLDER BUDGET 2023-24</t>
  </si>
  <si>
    <t>Goulden House Co-Operative Ltd - TENANT BUDGET 2023-24</t>
  </si>
  <si>
    <t>BUDGET SUMMARY FOR 2023-24</t>
  </si>
  <si>
    <t>Inflation impact @0%</t>
  </si>
  <si>
    <t>Yearly Gross 23/24+6.5% Increase</t>
  </si>
  <si>
    <t>Anticipated NIC for Estate Manager &amp; Finance Officer &amp; Office Admin. Kept at current lever as we are claiming Employment Allowance that compensates the increase.</t>
  </si>
  <si>
    <t>Peninsula HR Services, shared cost adjusted inline with current expenses based on the contractual obligations in place towards independent legal advise.</t>
  </si>
  <si>
    <t>Material's are included together with contractors bill and non-segregable, hence kept at the same level.</t>
  </si>
  <si>
    <t>Additional requirement for staff cover anticipated due to Section 20 Major Works.</t>
  </si>
  <si>
    <t>Gross wages include 3 staff members Estate Manager, Finance Officer &amp; Office Admin). The increase is due to increase in inflation and reflected accordingly.</t>
  </si>
  <si>
    <t>ROOF, FIRE DOOR &amp; BALCONY REPAIRS</t>
  </si>
  <si>
    <t>In 2022, Goulden House managed to completed fire door repairs for the cost of £31,115 and a provision of £1000 towards fire doors has been added, in addition to the Roof &amp; Balcony related repairs for the sum of £7,000, which remain consistent with that of previous year. The external repairs subject ot WBC approval and recharges if approved.</t>
  </si>
  <si>
    <t>BUDGET 2021-22</t>
  </si>
  <si>
    <t>BUDGET 2022-23</t>
  </si>
  <si>
    <t>BUDGET 2023-24</t>
  </si>
  <si>
    <t>ACTUAL 2020-21</t>
  </si>
  <si>
    <t>ACTUAL 2021-22</t>
  </si>
  <si>
    <t>ACTUAL 2022-23</t>
  </si>
  <si>
    <t>On average we're anticipating, 3 vacant property during 2023/24 and adjusted at £7,500 per property as advised by WBC.</t>
  </si>
  <si>
    <t>Based on actual cost per annum, Sage increased the price by £4 per month and shared cost of Sage Accounts for the sum of £475 included.</t>
  </si>
  <si>
    <t>Tenant's repairs and labour are accounted for based on the increment approved by WBC at the rate of 14.92% for forthcoming year.</t>
  </si>
  <si>
    <t>Void property (Vacant Property)</t>
  </si>
  <si>
    <t>Recharge income from Communal Fire Door</t>
  </si>
  <si>
    <t>Other income</t>
  </si>
  <si>
    <t>UPLIFTED TO 14.92% for 2024</t>
  </si>
  <si>
    <t>LH @ 16%</t>
  </si>
  <si>
    <t>TENANT @16%</t>
  </si>
  <si>
    <t>LH @ 77%</t>
  </si>
  <si>
    <t>TENANT @ 23%</t>
  </si>
  <si>
    <t>Uplift applied at 14.92% as per WBC's Instructions, Tab WBC OFFER 2023 for Breakdown</t>
  </si>
  <si>
    <t>Small inflation increase on last year and also includes £5,000 towards emergency Fencing Repairs.</t>
  </si>
  <si>
    <t>Estate cleaning Materials are uplifted in line with Actual expenses. Also includes costs previously recorded at 7005</t>
  </si>
  <si>
    <t>Adjusted as we may need to purchase small equipment. (E.g. Jet Washer to clean stairwells and walkways etc;)</t>
  </si>
  <si>
    <t>Provision in case required during 23/24</t>
  </si>
  <si>
    <t>There is no significant Office Cleaning expenses incurred. Costs here are now recorded at 6140</t>
  </si>
  <si>
    <t>Some minor subscription costs are being incurred</t>
  </si>
  <si>
    <t>Consistent with last year's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</si>
</sst>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6" formatCode="&quot;£&quot;#,##0;[Red]\-&quot;£&quot;#,##0"/>
    <numFmt numFmtId="8" formatCode="&quot;£&quot;#,##0.00;[Red]\-&quot;£&quot;#,##0.00"/>
    <numFmt numFmtId="44" formatCode="_-&quot;£&quot;* #,##0.00_-;\-&quot;£&quot;* #,##0.00_-;_-&quot;£&quot;* &quot;-&quot;??_-;_-@_-"/>
    <numFmt numFmtId="43" formatCode="_-* #,##0.00_-;\-* #,##0.00_-;_-* &quot;-&quot;??_-;_-@_-"/>
    <numFmt numFmtId="164" formatCode="0.00_ ;[Red]\-0.00\ "/>
    <numFmt numFmtId="165" formatCode="mmm\ yyyy"/>
    <numFmt numFmtId="166" formatCode="#,##0;[Red]\(#,##0\)"/>
    <numFmt numFmtId="167" formatCode="0.0000"/>
    <numFmt numFmtId="168" formatCode="#,##0.0000_ ;[Red]\-#,##0.0000\ "/>
    <numFmt numFmtId="169" formatCode="#,##0.00_ ;[Red]\-#,##0.00\ "/>
    <numFmt numFmtId="170" formatCode="dd/mm/yyyy\,dddd"/>
    <numFmt numFmtId="171" formatCode="0.00000000"/>
    <numFmt numFmtId="172" formatCode="&quot;£&quot;#,##0.00"/>
    <numFmt numFmtId="173" formatCode="&quot;£&quot;#,##0"/>
    <numFmt numFmtId="174" formatCode="0.0%"/>
    <numFmt numFmtId="175" formatCode="0.00%;[Red]\-0.00%"/>
    <numFmt numFmtId="176" formatCode="_-* #,##0.0000_-;\-* #,##0.0000_-;_-* &quot;-&quot;??_-;_-@_-"/>
    <numFmt numFmtId="177" formatCode="#,##0_ ;\-#,##0\ "/>
    <numFmt numFmtId="178" formatCode="#,##0.0000"/>
    <numFmt numFmtId="179" formatCode="_-* #,##0_-;\-* #,##0_-;_-* &quot;-&quot;??_-;_-@_-"/>
    <numFmt numFmtId="180" formatCode="#,##0.00;\(#,##0.00\);\-"/>
    <numFmt numFmtId="181" formatCode="#,##0.000000000000"/>
    <numFmt numFmtId="182" formatCode="_(* #,##0.00_);_(* \(#,##0.00\);_(* &quot;-&quot;??_);_(@_)"/>
  </numFmts>
  <fonts count="49" x14ac:knownFonts="1">
    <font>
      <sz val="11"/>
      <color theme="1"/>
      <name val="Calibri"/>
      <family val="2"/>
      <scheme val="minor"/>
    </font>
    <font>
      <sz val="11"/>
      <color theme="1"/>
      <name val="Calibri"/>
      <family val="2"/>
      <scheme val="minor"/>
    </font>
    <font>
      <sz val="10"/>
      <name val="Arial"/>
      <family val="2"/>
    </font>
    <font>
      <b/>
      <sz val="10"/>
      <name val="Calibri"/>
      <family val="2"/>
      <scheme val="minor"/>
    </font>
    <font>
      <b/>
      <sz val="10"/>
      <color rgb="FFFF0000"/>
      <name val="Calibri"/>
      <family val="2"/>
      <scheme val="minor"/>
    </font>
    <font>
      <sz val="10"/>
      <name val="Calibri"/>
      <family val="2"/>
      <scheme val="minor"/>
    </font>
    <font>
      <sz val="11"/>
      <name val="Calibri"/>
      <family val="2"/>
    </font>
    <font>
      <sz val="8"/>
      <name val="Calibri"/>
      <family val="2"/>
      <scheme val="minor"/>
    </font>
    <font>
      <sz val="10"/>
      <color rgb="FFFF0000"/>
      <name val="Calibri"/>
      <family val="2"/>
      <scheme val="minor"/>
    </font>
    <font>
      <b/>
      <sz val="11"/>
      <color theme="1"/>
      <name val="Calibri"/>
      <family val="2"/>
      <scheme val="minor"/>
    </font>
    <font>
      <sz val="10"/>
      <name val="Calibri Light"/>
      <family val="2"/>
      <scheme val="major"/>
    </font>
    <font>
      <b/>
      <u/>
      <sz val="12"/>
      <name val="Calibri"/>
      <family val="2"/>
      <scheme val="minor"/>
    </font>
    <font>
      <u/>
      <sz val="12"/>
      <name val="Calibri"/>
      <family val="2"/>
      <scheme val="minor"/>
    </font>
    <font>
      <u/>
      <sz val="10"/>
      <name val="Calibri"/>
      <family val="2"/>
      <scheme val="minor"/>
    </font>
    <font>
      <b/>
      <sz val="12"/>
      <name val="Calibri"/>
      <family val="2"/>
      <scheme val="minor"/>
    </font>
    <font>
      <b/>
      <u/>
      <sz val="10"/>
      <name val="Calibri"/>
      <family val="2"/>
      <scheme val="minor"/>
    </font>
    <font>
      <sz val="12"/>
      <name val="Calibri"/>
      <family val="2"/>
      <scheme val="minor"/>
    </font>
    <font>
      <i/>
      <sz val="10"/>
      <name val="Calibri"/>
      <family val="2"/>
      <scheme val="minor"/>
    </font>
    <font>
      <b/>
      <sz val="10"/>
      <color indexed="10"/>
      <name val="Calibri"/>
      <family val="2"/>
      <scheme val="minor"/>
    </font>
    <font>
      <b/>
      <u/>
      <sz val="10"/>
      <color indexed="10"/>
      <name val="Calibri"/>
      <family val="2"/>
      <scheme val="minor"/>
    </font>
    <font>
      <b/>
      <sz val="14"/>
      <name val="Calibri"/>
      <family val="2"/>
      <scheme val="minor"/>
    </font>
    <font>
      <b/>
      <sz val="10"/>
      <name val="Calibri Light"/>
      <family val="2"/>
      <scheme val="major"/>
    </font>
    <font>
      <sz val="10"/>
      <color theme="1"/>
      <name val="Calibri"/>
      <family val="2"/>
      <scheme val="minor"/>
    </font>
    <font>
      <sz val="11"/>
      <name val="Calibri"/>
      <family val="2"/>
    </font>
    <font>
      <b/>
      <u/>
      <sz val="10"/>
      <color rgb="FF000000"/>
      <name val="Calibri"/>
      <family val="2"/>
      <scheme val="minor"/>
    </font>
    <font>
      <sz val="10"/>
      <color rgb="FF000000"/>
      <name val="Calibri"/>
      <family val="2"/>
      <scheme val="minor"/>
    </font>
    <font>
      <b/>
      <sz val="10"/>
      <color rgb="FFFF0000"/>
      <name val="Calibri Light"/>
      <family val="2"/>
      <scheme val="major"/>
    </font>
    <font>
      <b/>
      <sz val="10"/>
      <color theme="1"/>
      <name val="Calibri"/>
      <family val="2"/>
      <scheme val="minor"/>
    </font>
    <font>
      <sz val="10"/>
      <color rgb="FF00B050"/>
      <name val="Calibri"/>
      <family val="2"/>
      <scheme val="minor"/>
    </font>
    <font>
      <b/>
      <sz val="10"/>
      <color rgb="FF00B050"/>
      <name val="Calibri"/>
      <family val="2"/>
      <scheme val="minor"/>
    </font>
    <font>
      <sz val="11"/>
      <name val="Calibri"/>
      <family val="2"/>
    </font>
    <font>
      <sz val="10"/>
      <name val="Tahoma"/>
      <family val="2"/>
    </font>
    <font>
      <b/>
      <u/>
      <sz val="8"/>
      <color rgb="FF000000"/>
      <name val="Tahoma"/>
      <family val="2"/>
    </font>
    <font>
      <sz val="8"/>
      <color rgb="FF000000"/>
      <name val="Tahoma"/>
      <family val="2"/>
    </font>
    <font>
      <b/>
      <sz val="8"/>
      <color rgb="FF000000"/>
      <name val="Tahoma"/>
      <family val="2"/>
    </font>
    <font>
      <b/>
      <u/>
      <sz val="12"/>
      <color rgb="FF000000"/>
      <name val="Tahoma"/>
      <family val="2"/>
    </font>
    <font>
      <sz val="10"/>
      <color rgb="FF000000"/>
      <name val="Tahoma"/>
      <family val="2"/>
    </font>
    <font>
      <b/>
      <sz val="10"/>
      <color rgb="FF000000"/>
      <name val="Tahoma"/>
      <family val="2"/>
    </font>
    <font>
      <b/>
      <sz val="12"/>
      <color rgb="FF00B050"/>
      <name val="Calibri"/>
      <family val="2"/>
      <scheme val="minor"/>
    </font>
    <font>
      <sz val="11"/>
      <color rgb="FF00B050"/>
      <name val="Calibri"/>
      <family val="2"/>
      <scheme val="minor"/>
    </font>
    <font>
      <b/>
      <u/>
      <sz val="8"/>
      <color rgb="FF000000"/>
      <name val="Tahoma"/>
      <family val="2"/>
    </font>
    <font>
      <sz val="8"/>
      <color rgb="FF000000"/>
      <name val="Tahoma"/>
      <family val="2"/>
    </font>
    <font>
      <b/>
      <sz val="10"/>
      <name val="Arial"/>
      <family val="2"/>
    </font>
    <font>
      <sz val="11"/>
      <name val="Calibri"/>
      <family val="2"/>
    </font>
    <font>
      <sz val="10"/>
      <name val="Tahoma"/>
      <family val="2"/>
    </font>
    <font>
      <b/>
      <sz val="8"/>
      <color rgb="FF000000"/>
      <name val="Tahoma"/>
      <family val="2"/>
    </font>
    <font>
      <b/>
      <u/>
      <sz val="12"/>
      <color rgb="FF000000"/>
      <name val="Tahoma"/>
      <family val="2"/>
    </font>
    <font>
      <sz val="10"/>
      <color rgb="FF000000"/>
      <name val="Tahoma"/>
      <family val="2"/>
    </font>
    <font>
      <b/>
      <sz val="10"/>
      <color rgb="FF000000"/>
      <name val="Tahoma"/>
      <family val="2"/>
    </font>
  </fonts>
  <fills count="13">
    <fill>
      <patternFill patternType="none"/>
    </fill>
    <fill>
      <patternFill patternType="gray125"/>
    </fill>
    <fill>
      <patternFill patternType="solid">
        <fgColor theme="9" tint="0.79998168889431442"/>
        <bgColor indexed="64"/>
      </patternFill>
    </fill>
    <fill>
      <patternFill patternType="solid">
        <fgColor rgb="FF00B0F0"/>
        <bgColor indexed="64"/>
      </patternFill>
    </fill>
    <fill>
      <patternFill patternType="solid">
        <fgColor indexed="13"/>
        <bgColor indexed="64"/>
      </patternFill>
    </fill>
    <fill>
      <patternFill patternType="solid">
        <fgColor theme="8" tint="0.79998168889431442"/>
        <bgColor indexed="64"/>
      </patternFill>
    </fill>
    <fill>
      <patternFill patternType="solid">
        <fgColor rgb="FF00FFFF"/>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rgb="FFFFFF00"/>
        <bgColor indexed="64"/>
      </patternFill>
    </fill>
    <fill>
      <patternFill patternType="solid">
        <fgColor rgb="FF00B050"/>
        <bgColor indexed="64"/>
      </patternFill>
    </fill>
    <fill>
      <patternFill patternType="solid">
        <fgColor theme="5" tint="0.39997558519241921"/>
        <bgColor indexed="64"/>
      </patternFill>
    </fill>
    <fill>
      <patternFill patternType="solid">
        <fgColor theme="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style="medium">
        <color indexed="64"/>
      </top>
      <bottom/>
      <diagonal/>
    </border>
    <border>
      <left/>
      <right style="thin">
        <color indexed="64"/>
      </right>
      <top/>
      <bottom/>
      <diagonal/>
    </border>
    <border>
      <left style="thin">
        <color indexed="64"/>
      </left>
      <right/>
      <top/>
      <bottom style="double">
        <color indexed="64"/>
      </bottom>
      <diagonal/>
    </border>
    <border>
      <left/>
      <right/>
      <top/>
      <bottom style="double">
        <color indexed="64"/>
      </bottom>
      <diagonal/>
    </border>
    <border>
      <left/>
      <right/>
      <top style="thin">
        <color indexed="64"/>
      </top>
      <bottom style="double">
        <color indexed="64"/>
      </bottom>
      <diagonal/>
    </border>
    <border>
      <left/>
      <right style="thin">
        <color indexed="64"/>
      </right>
      <top/>
      <bottom style="double">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s>
  <cellStyleXfs count="86">
    <xf numFmtId="0" fontId="0"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0" fontId="2" fillId="0" borderId="0"/>
    <xf numFmtId="44" fontId="1"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9"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6" fillId="0" borderId="0" applyFont="0" applyFill="0" applyBorder="0" applyAlignment="0" applyProtection="0"/>
    <xf numFmtId="4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6" fillId="0" borderId="0" applyFont="0" applyFill="0" applyBorder="0" applyAlignment="0" applyProtection="0"/>
    <xf numFmtId="44" fontId="2" fillId="0" borderId="0" applyFont="0" applyFill="0" applyBorder="0" applyAlignment="0" applyProtection="0"/>
    <xf numFmtId="0" fontId="23" fillId="0" borderId="0"/>
    <xf numFmtId="0" fontId="6"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6" fillId="0" borderId="0" applyFont="0" applyFill="0" applyBorder="0" applyAlignment="0" applyProtection="0"/>
    <xf numFmtId="4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6" fillId="0" borderId="0" applyFont="0" applyFill="0" applyBorder="0" applyAlignment="0" applyProtection="0"/>
    <xf numFmtId="4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6" fillId="0" borderId="0" applyFont="0" applyFill="0" applyBorder="0" applyAlignment="0" applyProtection="0"/>
    <xf numFmtId="4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6" fillId="0" borderId="0" applyFont="0" applyFill="0" applyBorder="0" applyAlignment="0" applyProtection="0"/>
    <xf numFmtId="4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6" fillId="0" borderId="0" applyFont="0" applyFill="0" applyBorder="0" applyAlignment="0" applyProtection="0"/>
    <xf numFmtId="4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6" fillId="0" borderId="0" applyFont="0" applyFill="0" applyBorder="0" applyAlignment="0" applyProtection="0"/>
    <xf numFmtId="44" fontId="2" fillId="0" borderId="0" applyFont="0" applyFill="0" applyBorder="0" applyAlignment="0" applyProtection="0"/>
    <xf numFmtId="0" fontId="30" fillId="0" borderId="0"/>
    <xf numFmtId="0" fontId="6" fillId="0" borderId="0"/>
    <xf numFmtId="182" fontId="2" fillId="0" borderId="0" applyFont="0" applyFill="0" applyBorder="0" applyAlignment="0" applyProtection="0"/>
    <xf numFmtId="0" fontId="1" fillId="0" borderId="0"/>
    <xf numFmtId="0" fontId="43" fillId="0" borderId="0"/>
  </cellStyleXfs>
  <cellXfs count="420">
    <xf numFmtId="0" fontId="0" fillId="0" borderId="0" xfId="0"/>
    <xf numFmtId="174" fontId="5" fillId="2" borderId="0" xfId="11" applyNumberFormat="1" applyFont="1" applyFill="1" applyBorder="1" applyAlignment="1">
      <alignment horizontal="center" vertical="center"/>
    </xf>
    <xf numFmtId="0" fontId="5" fillId="2" borderId="0" xfId="0" applyFont="1" applyFill="1" applyAlignment="1">
      <alignment vertical="center"/>
    </xf>
    <xf numFmtId="0" fontId="5" fillId="2" borderId="0" xfId="4" applyFont="1" applyFill="1" applyAlignment="1">
      <alignment horizontal="right" vertical="center"/>
    </xf>
    <xf numFmtId="10" fontId="10" fillId="2" borderId="0" xfId="11" applyNumberFormat="1" applyFont="1" applyFill="1" applyBorder="1" applyAlignment="1">
      <alignment vertical="center"/>
    </xf>
    <xf numFmtId="0" fontId="5" fillId="0" borderId="0" xfId="7" applyFont="1" applyAlignment="1">
      <alignment horizontal="left" vertical="center"/>
    </xf>
    <xf numFmtId="0" fontId="3" fillId="4" borderId="1" xfId="7" applyFont="1" applyFill="1" applyBorder="1" applyAlignment="1">
      <alignment horizontal="center" vertical="center" wrapText="1"/>
    </xf>
    <xf numFmtId="0" fontId="5" fillId="0" borderId="0" xfId="7" applyFont="1" applyAlignment="1">
      <alignment horizontal="center" vertical="center"/>
    </xf>
    <xf numFmtId="49" fontId="5" fillId="0" borderId="0" xfId="7" applyNumberFormat="1" applyFont="1" applyAlignment="1">
      <alignment horizontal="left" vertical="center"/>
    </xf>
    <xf numFmtId="18" fontId="5" fillId="0" borderId="1" xfId="7" applyNumberFormat="1" applyFont="1" applyBorder="1" applyAlignment="1">
      <alignment horizontal="left" vertical="center"/>
    </xf>
    <xf numFmtId="167" fontId="5" fillId="0" borderId="1" xfId="7" applyNumberFormat="1" applyFont="1" applyBorder="1" applyAlignment="1">
      <alignment horizontal="left" vertical="center"/>
    </xf>
    <xf numFmtId="168" fontId="3" fillId="4" borderId="1" xfId="7" applyNumberFormat="1" applyFont="1" applyFill="1" applyBorder="1" applyAlignment="1">
      <alignment horizontal="left" vertical="center"/>
    </xf>
    <xf numFmtId="169" fontId="5" fillId="0" borderId="1" xfId="10" applyNumberFormat="1" applyFont="1" applyBorder="1" applyAlignment="1">
      <alignment horizontal="left" vertical="center"/>
    </xf>
    <xf numFmtId="44" fontId="3" fillId="5" borderId="1" xfId="10" applyFont="1" applyFill="1" applyBorder="1" applyAlignment="1">
      <alignment horizontal="left" vertical="center"/>
    </xf>
    <xf numFmtId="44" fontId="3" fillId="0" borderId="1" xfId="10" applyFont="1" applyBorder="1" applyAlignment="1">
      <alignment horizontal="left" vertical="center"/>
    </xf>
    <xf numFmtId="44" fontId="3" fillId="4" borderId="1" xfId="10" applyFont="1" applyFill="1" applyBorder="1" applyAlignment="1">
      <alignment horizontal="left" vertical="center"/>
    </xf>
    <xf numFmtId="44" fontId="3" fillId="3" borderId="1" xfId="10" applyFont="1" applyFill="1" applyBorder="1" applyAlignment="1">
      <alignment horizontal="left" vertical="center"/>
    </xf>
    <xf numFmtId="170" fontId="5" fillId="0" borderId="1" xfId="7" applyNumberFormat="1" applyFont="1" applyBorder="1" applyAlignment="1">
      <alignment horizontal="left" vertical="center"/>
    </xf>
    <xf numFmtId="170" fontId="5" fillId="0" borderId="0" xfId="7" applyNumberFormat="1" applyFont="1" applyAlignment="1">
      <alignment horizontal="left" vertical="center"/>
    </xf>
    <xf numFmtId="2" fontId="5" fillId="0" borderId="0" xfId="7" applyNumberFormat="1" applyFont="1" applyAlignment="1">
      <alignment horizontal="left" vertical="center"/>
    </xf>
    <xf numFmtId="44" fontId="5" fillId="0" borderId="0" xfId="10" applyFont="1" applyAlignment="1">
      <alignment horizontal="left" vertical="center"/>
    </xf>
    <xf numFmtId="49" fontId="5" fillId="0" borderId="0" xfId="10" applyNumberFormat="1" applyFont="1" applyAlignment="1">
      <alignment horizontal="left" vertical="center"/>
    </xf>
    <xf numFmtId="171" fontId="5" fillId="0" borderId="0" xfId="7" applyNumberFormat="1" applyFont="1" applyAlignment="1">
      <alignment horizontal="left" vertical="center"/>
    </xf>
    <xf numFmtId="0" fontId="8" fillId="0" borderId="0" xfId="7" applyFont="1" applyAlignment="1">
      <alignment horizontal="left" vertical="center"/>
    </xf>
    <xf numFmtId="0" fontId="3" fillId="0" borderId="0" xfId="7" applyFont="1" applyAlignment="1">
      <alignment horizontal="left" vertical="center"/>
    </xf>
    <xf numFmtId="44" fontId="5" fillId="0" borderId="0" xfId="7" applyNumberFormat="1" applyFont="1" applyAlignment="1">
      <alignment horizontal="left" vertical="center"/>
    </xf>
    <xf numFmtId="44" fontId="5" fillId="0" borderId="1" xfId="7" applyNumberFormat="1" applyFont="1" applyBorder="1" applyAlignment="1">
      <alignment horizontal="left" vertical="center"/>
    </xf>
    <xf numFmtId="43" fontId="5" fillId="0" borderId="1" xfId="1" applyFont="1" applyBorder="1" applyAlignment="1">
      <alignment horizontal="left" vertical="center"/>
    </xf>
    <xf numFmtId="44" fontId="5" fillId="0" borderId="7" xfId="7" applyNumberFormat="1" applyFont="1" applyBorder="1" applyAlignment="1">
      <alignment horizontal="left" vertical="center"/>
    </xf>
    <xf numFmtId="0" fontId="5" fillId="6" borderId="1" xfId="7" applyFont="1" applyFill="1" applyBorder="1" applyAlignment="1">
      <alignment horizontal="left" vertical="center"/>
    </xf>
    <xf numFmtId="175" fontId="10" fillId="2" borderId="0" xfId="11" applyNumberFormat="1" applyFont="1" applyFill="1" applyBorder="1" applyAlignment="1">
      <alignment vertical="center"/>
    </xf>
    <xf numFmtId="173" fontId="5" fillId="2" borderId="0" xfId="0" applyNumberFormat="1" applyFont="1" applyFill="1" applyAlignment="1">
      <alignment vertical="center"/>
    </xf>
    <xf numFmtId="10" fontId="5" fillId="2" borderId="0" xfId="11" applyNumberFormat="1" applyFont="1" applyFill="1" applyBorder="1" applyAlignment="1">
      <alignment vertical="center"/>
    </xf>
    <xf numFmtId="173" fontId="5" fillId="2" borderId="0" xfId="5" applyNumberFormat="1" applyFont="1" applyFill="1" applyAlignment="1">
      <alignment vertical="center"/>
    </xf>
    <xf numFmtId="2" fontId="5" fillId="2" borderId="0" xfId="4" quotePrefix="1" applyNumberFormat="1" applyFont="1" applyFill="1" applyAlignment="1">
      <alignment horizontal="center" vertical="center"/>
    </xf>
    <xf numFmtId="172" fontId="5" fillId="2" borderId="0" xfId="0" applyNumberFormat="1" applyFont="1" applyFill="1" applyAlignment="1">
      <alignment horizontal="justify" vertical="center"/>
    </xf>
    <xf numFmtId="173" fontId="5" fillId="2" borderId="0" xfId="5" applyNumberFormat="1" applyFont="1" applyFill="1" applyAlignment="1">
      <alignment horizontal="left" vertical="center"/>
    </xf>
    <xf numFmtId="1" fontId="5" fillId="2" borderId="0" xfId="0" applyNumberFormat="1" applyFont="1" applyFill="1" applyAlignment="1">
      <alignment horizontal="center" vertical="center"/>
    </xf>
    <xf numFmtId="172" fontId="5" fillId="2" borderId="0" xfId="0" applyNumberFormat="1" applyFont="1" applyFill="1" applyAlignment="1">
      <alignment horizontal="left" vertical="center"/>
    </xf>
    <xf numFmtId="172" fontId="5" fillId="2" borderId="0" xfId="0" applyNumberFormat="1" applyFont="1" applyFill="1" applyAlignment="1">
      <alignment vertical="center"/>
    </xf>
    <xf numFmtId="2" fontId="5" fillId="2" borderId="0" xfId="0" applyNumberFormat="1" applyFont="1" applyFill="1" applyAlignment="1">
      <alignment horizontal="center" vertical="center"/>
    </xf>
    <xf numFmtId="172" fontId="5" fillId="2" borderId="0" xfId="1" applyNumberFormat="1" applyFont="1" applyFill="1" applyBorder="1" applyAlignment="1">
      <alignment vertical="center"/>
    </xf>
    <xf numFmtId="0" fontId="5" fillId="2" borderId="0" xfId="0" applyFont="1" applyFill="1" applyAlignment="1">
      <alignment horizontal="left" vertical="center"/>
    </xf>
    <xf numFmtId="0" fontId="10" fillId="2" borderId="0" xfId="4" applyFont="1" applyFill="1" applyAlignment="1">
      <alignment horizontal="left" vertical="center"/>
    </xf>
    <xf numFmtId="0" fontId="10" fillId="2" borderId="0" xfId="4" applyFont="1" applyFill="1" applyAlignment="1">
      <alignment horizontal="right" vertical="center"/>
    </xf>
    <xf numFmtId="173" fontId="5" fillId="2" borderId="0" xfId="0" applyNumberFormat="1" applyFont="1" applyFill="1" applyAlignment="1">
      <alignment horizontal="left" vertical="center"/>
    </xf>
    <xf numFmtId="1" fontId="5" fillId="2" borderId="0" xfId="5" applyNumberFormat="1" applyFont="1" applyFill="1" applyAlignment="1">
      <alignment horizontal="left" vertical="center"/>
    </xf>
    <xf numFmtId="1" fontId="5" fillId="2" borderId="0" xfId="0" applyNumberFormat="1" applyFont="1" applyFill="1" applyAlignment="1">
      <alignment horizontal="left" vertical="center"/>
    </xf>
    <xf numFmtId="2" fontId="5" fillId="2" borderId="0" xfId="4" quotePrefix="1" applyNumberFormat="1" applyFont="1" applyFill="1" applyAlignment="1">
      <alignment horizontal="left" vertical="center"/>
    </xf>
    <xf numFmtId="6" fontId="5" fillId="2" borderId="0" xfId="0" applyNumberFormat="1" applyFont="1" applyFill="1" applyAlignment="1">
      <alignment vertical="center"/>
    </xf>
    <xf numFmtId="6" fontId="5" fillId="2" borderId="0" xfId="11" applyNumberFormat="1" applyFont="1" applyFill="1" applyBorder="1" applyAlignment="1">
      <alignment vertical="center"/>
    </xf>
    <xf numFmtId="6" fontId="10" fillId="2" borderId="0" xfId="1" applyNumberFormat="1" applyFont="1" applyFill="1" applyBorder="1" applyAlignment="1">
      <alignment vertical="center"/>
    </xf>
    <xf numFmtId="173" fontId="5" fillId="8" borderId="0" xfId="1" applyNumberFormat="1" applyFont="1" applyFill="1" applyBorder="1" applyAlignment="1">
      <alignment vertical="center"/>
    </xf>
    <xf numFmtId="173" fontId="5" fillId="8" borderId="0" xfId="1" applyNumberFormat="1" applyFont="1" applyFill="1" applyBorder="1" applyAlignment="1">
      <alignment horizontal="right" vertical="center"/>
    </xf>
    <xf numFmtId="173" fontId="5" fillId="2" borderId="0" xfId="1" applyNumberFormat="1" applyFont="1" applyFill="1" applyBorder="1" applyAlignment="1">
      <alignment horizontal="right" vertical="center"/>
    </xf>
    <xf numFmtId="4" fontId="5" fillId="0" borderId="0" xfId="7" applyNumberFormat="1" applyFont="1" applyAlignment="1">
      <alignment horizontal="left" vertical="center"/>
    </xf>
    <xf numFmtId="43" fontId="0" fillId="0" borderId="0" xfId="1" applyFont="1"/>
    <xf numFmtId="0" fontId="13" fillId="0" borderId="16" xfId="0" applyFont="1" applyBorder="1"/>
    <xf numFmtId="0" fontId="3" fillId="0" borderId="0" xfId="0" applyFont="1" applyAlignment="1">
      <alignment horizontal="center"/>
    </xf>
    <xf numFmtId="0" fontId="14" fillId="0" borderId="0" xfId="0" applyFont="1"/>
    <xf numFmtId="0" fontId="5" fillId="0" borderId="0" xfId="0" applyFont="1"/>
    <xf numFmtId="0" fontId="5" fillId="0" borderId="17" xfId="0" applyFont="1" applyBorder="1"/>
    <xf numFmtId="0" fontId="5" fillId="0" borderId="16" xfId="0" applyFont="1" applyBorder="1"/>
    <xf numFmtId="0" fontId="13" fillId="0" borderId="0" xfId="0" applyFont="1"/>
    <xf numFmtId="0" fontId="5" fillId="0" borderId="18" xfId="0" applyFont="1" applyBorder="1"/>
    <xf numFmtId="0" fontId="13" fillId="0" borderId="18" xfId="0" applyFont="1" applyBorder="1" applyAlignment="1">
      <alignment wrapText="1"/>
    </xf>
    <xf numFmtId="0" fontId="5" fillId="0" borderId="18" xfId="0" applyFont="1" applyBorder="1" applyAlignment="1">
      <alignment horizontal="center"/>
    </xf>
    <xf numFmtId="0" fontId="5" fillId="0" borderId="19" xfId="0" applyFont="1" applyBorder="1"/>
    <xf numFmtId="0" fontId="3" fillId="0" borderId="20" xfId="0" applyFont="1" applyBorder="1" applyAlignment="1">
      <alignment horizontal="center"/>
    </xf>
    <xf numFmtId="0" fontId="5" fillId="0" borderId="20" xfId="0" applyFont="1" applyBorder="1"/>
    <xf numFmtId="0" fontId="5" fillId="0" borderId="21" xfId="0" applyFont="1" applyBorder="1"/>
    <xf numFmtId="0" fontId="5" fillId="0" borderId="22" xfId="0" applyFont="1" applyBorder="1"/>
    <xf numFmtId="0" fontId="15" fillId="0" borderId="0" xfId="0" applyFont="1" applyAlignment="1">
      <alignment horizontal="center"/>
    </xf>
    <xf numFmtId="0" fontId="5" fillId="0" borderId="10" xfId="0" applyFont="1" applyBorder="1"/>
    <xf numFmtId="17" fontId="5" fillId="0" borderId="11" xfId="0" applyNumberFormat="1" applyFont="1" applyBorder="1"/>
    <xf numFmtId="0" fontId="5" fillId="0" borderId="11" xfId="0" applyFont="1" applyBorder="1"/>
    <xf numFmtId="0" fontId="15" fillId="0" borderId="12" xfId="0" applyFont="1" applyBorder="1" applyAlignment="1">
      <alignment horizontal="center"/>
    </xf>
    <xf numFmtId="43" fontId="3" fillId="0" borderId="0" xfId="1" applyFont="1" applyFill="1" applyBorder="1"/>
    <xf numFmtId="176" fontId="3" fillId="0" borderId="18" xfId="1" applyNumberFormat="1" applyFont="1" applyFill="1" applyBorder="1"/>
    <xf numFmtId="0" fontId="16" fillId="0" borderId="0" xfId="0" applyFont="1" applyAlignment="1">
      <alignment horizontal="right"/>
    </xf>
    <xf numFmtId="0" fontId="14" fillId="0" borderId="16" xfId="0" applyFont="1" applyBorder="1"/>
    <xf numFmtId="17" fontId="16" fillId="0" borderId="0" xfId="0" applyNumberFormat="1" applyFont="1"/>
    <xf numFmtId="0" fontId="16" fillId="0" borderId="0" xfId="0" applyFont="1"/>
    <xf numFmtId="43" fontId="14" fillId="0" borderId="18" xfId="1" applyFont="1" applyBorder="1"/>
    <xf numFmtId="0" fontId="14" fillId="0" borderId="0" xfId="0" applyFont="1" applyAlignment="1">
      <alignment horizontal="center"/>
    </xf>
    <xf numFmtId="17" fontId="16" fillId="0" borderId="0" xfId="0" applyNumberFormat="1" applyFont="1" applyAlignment="1">
      <alignment horizontal="right"/>
    </xf>
    <xf numFmtId="0" fontId="11" fillId="0" borderId="0" xfId="0" applyFont="1" applyAlignment="1">
      <alignment horizontal="center"/>
    </xf>
    <xf numFmtId="0" fontId="12" fillId="0" borderId="16" xfId="0" applyFont="1" applyBorder="1"/>
    <xf numFmtId="177" fontId="14" fillId="0" borderId="23" xfId="0" applyNumberFormat="1" applyFont="1" applyBorder="1"/>
    <xf numFmtId="0" fontId="16" fillId="0" borderId="24" xfId="0" applyFont="1" applyBorder="1"/>
    <xf numFmtId="0" fontId="16" fillId="0" borderId="25" xfId="0" quotePrefix="1" applyFont="1" applyBorder="1" applyAlignment="1">
      <alignment horizontal="right"/>
    </xf>
    <xf numFmtId="0" fontId="16" fillId="0" borderId="25" xfId="0" applyFont="1" applyBorder="1"/>
    <xf numFmtId="6" fontId="14" fillId="0" borderId="23" xfId="0" applyNumberFormat="1" applyFont="1" applyBorder="1"/>
    <xf numFmtId="6" fontId="0" fillId="0" borderId="0" xfId="0" applyNumberFormat="1"/>
    <xf numFmtId="0" fontId="3" fillId="0" borderId="0" xfId="0" applyFont="1"/>
    <xf numFmtId="43" fontId="5" fillId="0" borderId="0" xfId="0" applyNumberFormat="1" applyFont="1"/>
    <xf numFmtId="172" fontId="10" fillId="2" borderId="0" xfId="4" applyNumberFormat="1" applyFont="1" applyFill="1" applyAlignment="1">
      <alignment horizontal="left" vertical="center"/>
    </xf>
    <xf numFmtId="0" fontId="15" fillId="0" borderId="16" xfId="0" applyFont="1" applyBorder="1"/>
    <xf numFmtId="0" fontId="13" fillId="0" borderId="0" xfId="0" applyFont="1" applyAlignment="1">
      <alignment horizontal="right"/>
    </xf>
    <xf numFmtId="0" fontId="13" fillId="0" borderId="18" xfId="0" applyFont="1" applyBorder="1" applyAlignment="1">
      <alignment horizontal="right"/>
    </xf>
    <xf numFmtId="178" fontId="5" fillId="0" borderId="16" xfId="0" applyNumberFormat="1" applyFont="1" applyBorder="1" applyAlignment="1">
      <alignment horizontal="center"/>
    </xf>
    <xf numFmtId="0" fontId="3" fillId="0" borderId="0" xfId="0" quotePrefix="1" applyFont="1" applyAlignment="1">
      <alignment horizontal="center"/>
    </xf>
    <xf numFmtId="4" fontId="5" fillId="0" borderId="0" xfId="0" applyNumberFormat="1" applyFont="1"/>
    <xf numFmtId="172" fontId="5" fillId="0" borderId="0" xfId="0" applyNumberFormat="1" applyFont="1"/>
    <xf numFmtId="6" fontId="5" fillId="0" borderId="18" xfId="0" applyNumberFormat="1" applyFont="1" applyBorder="1"/>
    <xf numFmtId="43" fontId="10" fillId="7" borderId="0" xfId="1" applyFont="1" applyFill="1" applyBorder="1" applyAlignment="1">
      <alignment horizontal="right" vertical="center"/>
    </xf>
    <xf numFmtId="6" fontId="0" fillId="0" borderId="0" xfId="1" applyNumberFormat="1" applyFont="1"/>
    <xf numFmtId="0" fontId="5" fillId="0" borderId="25" xfId="0" applyFont="1" applyBorder="1"/>
    <xf numFmtId="4" fontId="5" fillId="0" borderId="25" xfId="0" applyNumberFormat="1" applyFont="1" applyBorder="1"/>
    <xf numFmtId="1" fontId="5" fillId="0" borderId="0" xfId="0" applyNumberFormat="1" applyFont="1"/>
    <xf numFmtId="172" fontId="5" fillId="0" borderId="21" xfId="0" applyNumberFormat="1" applyFont="1" applyBorder="1"/>
    <xf numFmtId="6" fontId="3" fillId="0" borderId="26" xfId="0" applyNumberFormat="1" applyFont="1" applyBorder="1"/>
    <xf numFmtId="0" fontId="13" fillId="0" borderId="0" xfId="0" applyFont="1" applyAlignment="1">
      <alignment horizontal="center"/>
    </xf>
    <xf numFmtId="6" fontId="13" fillId="0" borderId="18" xfId="0" applyNumberFormat="1" applyFont="1" applyBorder="1" applyAlignment="1">
      <alignment horizontal="right"/>
    </xf>
    <xf numFmtId="2" fontId="5" fillId="0" borderId="0" xfId="0" applyNumberFormat="1" applyFont="1"/>
    <xf numFmtId="8" fontId="5" fillId="0" borderId="0" xfId="0" applyNumberFormat="1" applyFont="1"/>
    <xf numFmtId="0" fontId="5" fillId="0" borderId="20" xfId="0" applyFont="1" applyBorder="1" applyAlignment="1">
      <alignment horizontal="center"/>
    </xf>
    <xf numFmtId="8" fontId="5" fillId="0" borderId="21" xfId="0" applyNumberFormat="1" applyFont="1" applyBorder="1"/>
    <xf numFmtId="0" fontId="5" fillId="0" borderId="0" xfId="0" applyFont="1" applyAlignment="1">
      <alignment horizontal="center"/>
    </xf>
    <xf numFmtId="6" fontId="3" fillId="0" borderId="18" xfId="0" applyNumberFormat="1" applyFont="1" applyBorder="1"/>
    <xf numFmtId="178" fontId="5" fillId="0" borderId="19" xfId="0" applyNumberFormat="1" applyFont="1" applyBorder="1" applyAlignment="1">
      <alignment horizontal="center"/>
    </xf>
    <xf numFmtId="8" fontId="5" fillId="0" borderId="20" xfId="0" applyNumberFormat="1" applyFont="1" applyBorder="1"/>
    <xf numFmtId="6" fontId="3" fillId="0" borderId="22" xfId="0" applyNumberFormat="1" applyFont="1" applyBorder="1"/>
    <xf numFmtId="8" fontId="13" fillId="0" borderId="0" xfId="0" applyNumberFormat="1" applyFont="1" applyAlignment="1">
      <alignment horizontal="right"/>
    </xf>
    <xf numFmtId="0" fontId="15" fillId="0" borderId="20" xfId="0" applyFont="1" applyBorder="1" applyAlignment="1">
      <alignment horizontal="center"/>
    </xf>
    <xf numFmtId="0" fontId="3" fillId="0" borderId="22" xfId="0" applyFont="1" applyBorder="1"/>
    <xf numFmtId="0" fontId="5" fillId="0" borderId="27" xfId="0" applyFont="1" applyBorder="1"/>
    <xf numFmtId="0" fontId="3" fillId="0" borderId="28" xfId="0" applyFont="1" applyBorder="1" applyAlignment="1">
      <alignment horizontal="center"/>
    </xf>
    <xf numFmtId="0" fontId="5" fillId="0" borderId="28" xfId="0" applyFont="1" applyBorder="1"/>
    <xf numFmtId="0" fontId="5" fillId="0" borderId="29" xfId="0" applyFont="1" applyBorder="1"/>
    <xf numFmtId="0" fontId="17" fillId="0" borderId="16" xfId="0" applyFont="1" applyBorder="1"/>
    <xf numFmtId="0" fontId="5" fillId="0" borderId="16" xfId="0" applyFont="1" applyBorder="1" applyAlignment="1">
      <alignment horizontal="center"/>
    </xf>
    <xf numFmtId="0" fontId="18" fillId="0" borderId="0" xfId="0" applyFont="1"/>
    <xf numFmtId="0" fontId="19" fillId="0" borderId="16" xfId="0" applyFont="1" applyBorder="1"/>
    <xf numFmtId="0" fontId="3" fillId="0" borderId="16" xfId="0" applyFont="1" applyBorder="1"/>
    <xf numFmtId="8" fontId="3" fillId="0" borderId="0" xfId="0" applyNumberFormat="1" applyFont="1"/>
    <xf numFmtId="0" fontId="17" fillId="0" borderId="16" xfId="0" applyFont="1" applyBorder="1" applyAlignment="1">
      <alignment horizontal="left"/>
    </xf>
    <xf numFmtId="0" fontId="17" fillId="0" borderId="0" xfId="0" applyFont="1" applyAlignment="1">
      <alignment horizontal="center"/>
    </xf>
    <xf numFmtId="10" fontId="3" fillId="0" borderId="0" xfId="11" applyNumberFormat="1" applyFont="1" applyFill="1" applyBorder="1"/>
    <xf numFmtId="172" fontId="3" fillId="2" borderId="0" xfId="0" applyNumberFormat="1" applyFont="1" applyFill="1" applyAlignment="1">
      <alignment horizontal="left" vertical="center"/>
    </xf>
    <xf numFmtId="172" fontId="3" fillId="2" borderId="0" xfId="0" applyNumberFormat="1" applyFont="1" applyFill="1" applyAlignment="1">
      <alignment vertical="center"/>
    </xf>
    <xf numFmtId="173" fontId="3" fillId="2" borderId="0" xfId="1" applyNumberFormat="1" applyFont="1" applyFill="1" applyBorder="1" applyAlignment="1">
      <alignment horizontal="right" vertical="center"/>
    </xf>
    <xf numFmtId="172" fontId="3" fillId="2" borderId="0" xfId="0" applyNumberFormat="1" applyFont="1" applyFill="1" applyAlignment="1">
      <alignment horizontal="justify" vertical="justify"/>
    </xf>
    <xf numFmtId="172" fontId="5" fillId="2" borderId="0" xfId="0" applyNumberFormat="1" applyFont="1" applyFill="1" applyAlignment="1">
      <alignment horizontal="center" vertical="center"/>
    </xf>
    <xf numFmtId="172" fontId="5" fillId="2" borderId="0" xfId="0" applyNumberFormat="1" applyFont="1" applyFill="1" applyAlignment="1">
      <alignment horizontal="justify" vertical="justify"/>
    </xf>
    <xf numFmtId="165" fontId="3" fillId="2" borderId="0" xfId="4" applyNumberFormat="1" applyFont="1" applyFill="1" applyAlignment="1">
      <alignment horizontal="center" vertical="center" wrapText="1"/>
    </xf>
    <xf numFmtId="165" fontId="3" fillId="2" borderId="0" xfId="0" applyNumberFormat="1" applyFont="1" applyFill="1" applyAlignment="1">
      <alignment horizontal="center" vertical="center"/>
    </xf>
    <xf numFmtId="0" fontId="5" fillId="2" borderId="0" xfId="4" applyFont="1" applyFill="1" applyAlignment="1">
      <alignment horizontal="center" vertical="center"/>
    </xf>
    <xf numFmtId="1" fontId="5" fillId="2" borderId="0" xfId="4" quotePrefix="1" applyNumberFormat="1" applyFont="1" applyFill="1" applyAlignment="1">
      <alignment horizontal="center" vertical="center"/>
    </xf>
    <xf numFmtId="0" fontId="3" fillId="2" borderId="0" xfId="4" applyFont="1" applyFill="1" applyAlignment="1">
      <alignment horizontal="center" vertical="center" wrapText="1"/>
    </xf>
    <xf numFmtId="1" fontId="3" fillId="2" borderId="0" xfId="4" quotePrefix="1" applyNumberFormat="1" applyFont="1" applyFill="1" applyAlignment="1">
      <alignment horizontal="center" vertical="center"/>
    </xf>
    <xf numFmtId="166" fontId="3" fillId="2" borderId="0" xfId="1" applyNumberFormat="1" applyFont="1" applyFill="1" applyBorder="1" applyAlignment="1">
      <alignment horizontal="justify" vertical="justify"/>
    </xf>
    <xf numFmtId="172" fontId="5" fillId="2" borderId="0" xfId="4" applyNumberFormat="1" applyFont="1" applyFill="1" applyAlignment="1">
      <alignment horizontal="left" vertical="center"/>
    </xf>
    <xf numFmtId="0" fontId="5" fillId="2" borderId="0" xfId="0" applyFont="1" applyFill="1" applyAlignment="1">
      <alignment horizontal="center" vertical="center"/>
    </xf>
    <xf numFmtId="1" fontId="5" fillId="2" borderId="0" xfId="4" applyNumberFormat="1" applyFont="1" applyFill="1" applyAlignment="1">
      <alignment horizontal="center" vertical="center"/>
    </xf>
    <xf numFmtId="166" fontId="5" fillId="2" borderId="0" xfId="1" applyNumberFormat="1" applyFont="1" applyFill="1" applyBorder="1" applyAlignment="1">
      <alignment horizontal="justify" vertical="justify"/>
    </xf>
    <xf numFmtId="0" fontId="21" fillId="2" borderId="0" xfId="0" applyFont="1" applyFill="1" applyAlignment="1">
      <alignment horizontal="right" vertical="center"/>
    </xf>
    <xf numFmtId="10" fontId="21" fillId="2" borderId="0" xfId="11" applyNumberFormat="1" applyFont="1" applyFill="1" applyBorder="1" applyAlignment="1">
      <alignment vertical="center"/>
    </xf>
    <xf numFmtId="166" fontId="3" fillId="2" borderId="0" xfId="0" applyNumberFormat="1" applyFont="1" applyFill="1" applyAlignment="1">
      <alignment vertical="center"/>
    </xf>
    <xf numFmtId="0" fontId="3" fillId="2" borderId="0" xfId="0" applyFont="1" applyFill="1" applyAlignment="1">
      <alignment vertical="center"/>
    </xf>
    <xf numFmtId="0" fontId="3" fillId="2" borderId="0" xfId="4" applyFont="1" applyFill="1" applyAlignment="1">
      <alignment horizontal="left" vertical="center"/>
    </xf>
    <xf numFmtId="173" fontId="3" fillId="8" borderId="0" xfId="1" applyNumberFormat="1" applyFont="1" applyFill="1" applyBorder="1" applyAlignment="1">
      <alignment horizontal="center" vertical="center" wrapText="1"/>
    </xf>
    <xf numFmtId="174" fontId="3" fillId="2" borderId="0" xfId="11" applyNumberFormat="1" applyFont="1" applyFill="1" applyBorder="1" applyAlignment="1">
      <alignment horizontal="center" vertical="center" wrapText="1"/>
    </xf>
    <xf numFmtId="0" fontId="3" fillId="2" borderId="0" xfId="0" applyFont="1" applyFill="1" applyAlignment="1">
      <alignment horizontal="center" vertical="center"/>
    </xf>
    <xf numFmtId="0" fontId="5" fillId="2" borderId="0" xfId="4" applyFont="1" applyFill="1" applyAlignment="1">
      <alignment horizontal="left" vertical="center"/>
    </xf>
    <xf numFmtId="0" fontId="5" fillId="0" borderId="0" xfId="0" applyFont="1" applyAlignment="1">
      <alignment horizontal="right"/>
    </xf>
    <xf numFmtId="0" fontId="3" fillId="2" borderId="0" xfId="0" applyFont="1" applyFill="1" applyAlignment="1">
      <alignment horizontal="right" vertical="center"/>
    </xf>
    <xf numFmtId="43" fontId="5" fillId="2" borderId="0" xfId="1" applyFont="1" applyFill="1" applyBorder="1" applyAlignment="1">
      <alignment vertical="center"/>
    </xf>
    <xf numFmtId="43" fontId="24" fillId="0" borderId="0" xfId="1" applyFont="1" applyAlignment="1">
      <alignment horizontal="right"/>
    </xf>
    <xf numFmtId="43" fontId="25" fillId="0" borderId="0" xfId="1" applyFont="1" applyAlignment="1">
      <alignment horizontal="right"/>
    </xf>
    <xf numFmtId="43" fontId="5" fillId="0" borderId="0" xfId="1" applyFont="1"/>
    <xf numFmtId="165" fontId="3" fillId="2" borderId="0" xfId="4" applyNumberFormat="1" applyFont="1" applyFill="1" applyAlignment="1">
      <alignment horizontal="left" vertical="center" wrapText="1"/>
    </xf>
    <xf numFmtId="165" fontId="3" fillId="2" borderId="0" xfId="5" applyNumberFormat="1" applyFont="1" applyFill="1" applyAlignment="1">
      <alignment horizontal="center" vertical="center"/>
    </xf>
    <xf numFmtId="6" fontId="3" fillId="2" borderId="0" xfId="1" applyNumberFormat="1" applyFont="1" applyFill="1" applyBorder="1" applyAlignment="1">
      <alignment horizontal="center" vertical="center" wrapText="1"/>
    </xf>
    <xf numFmtId="10" fontId="3" fillId="2" borderId="0" xfId="11" applyNumberFormat="1" applyFont="1" applyFill="1" applyBorder="1" applyAlignment="1">
      <alignment vertical="center"/>
    </xf>
    <xf numFmtId="9" fontId="3" fillId="2" borderId="0" xfId="11" applyFont="1" applyFill="1" applyBorder="1" applyAlignment="1">
      <alignment vertical="center"/>
    </xf>
    <xf numFmtId="43" fontId="3" fillId="2" borderId="0" xfId="1" applyFont="1" applyFill="1" applyBorder="1" applyAlignment="1">
      <alignment horizontal="center" vertical="center"/>
    </xf>
    <xf numFmtId="43" fontId="3" fillId="2" borderId="0" xfId="1" applyFont="1" applyFill="1" applyBorder="1" applyAlignment="1">
      <alignment vertical="center"/>
    </xf>
    <xf numFmtId="0" fontId="3" fillId="2" borderId="0" xfId="4" applyFont="1" applyFill="1" applyAlignment="1">
      <alignment horizontal="center" vertical="center"/>
    </xf>
    <xf numFmtId="0" fontId="21" fillId="2" borderId="0" xfId="4" applyFont="1" applyFill="1" applyAlignment="1">
      <alignment horizontal="right" vertical="center"/>
    </xf>
    <xf numFmtId="175" fontId="21" fillId="2" borderId="0" xfId="11" applyNumberFormat="1" applyFont="1" applyFill="1" applyBorder="1" applyAlignment="1">
      <alignment vertical="center"/>
    </xf>
    <xf numFmtId="43" fontId="25" fillId="9" borderId="0" xfId="1" applyFont="1" applyFill="1" applyAlignment="1">
      <alignment horizontal="right"/>
    </xf>
    <xf numFmtId="43" fontId="8" fillId="9" borderId="0" xfId="1" applyFont="1" applyFill="1" applyAlignment="1">
      <alignment horizontal="right"/>
    </xf>
    <xf numFmtId="179" fontId="3" fillId="8" borderId="0" xfId="1" applyNumberFormat="1" applyFont="1" applyFill="1" applyBorder="1" applyAlignment="1">
      <alignment horizontal="center" vertical="center" wrapText="1"/>
    </xf>
    <xf numFmtId="1" fontId="27" fillId="2" borderId="0" xfId="4" applyNumberFormat="1" applyFont="1" applyFill="1" applyAlignment="1">
      <alignment horizontal="center" vertical="center"/>
    </xf>
    <xf numFmtId="172" fontId="27" fillId="2" borderId="0" xfId="4" applyNumberFormat="1" applyFont="1" applyFill="1" applyAlignment="1">
      <alignment horizontal="left" vertical="center"/>
    </xf>
    <xf numFmtId="172" fontId="27" fillId="2" borderId="0" xfId="0" applyNumberFormat="1" applyFont="1" applyFill="1" applyAlignment="1">
      <alignment horizontal="justify" vertical="justify"/>
    </xf>
    <xf numFmtId="172" fontId="27" fillId="2" borderId="0" xfId="0" applyNumberFormat="1" applyFont="1" applyFill="1" applyAlignment="1">
      <alignment vertical="center"/>
    </xf>
    <xf numFmtId="1" fontId="3" fillId="2" borderId="0" xfId="4" applyNumberFormat="1" applyFont="1" applyFill="1" applyAlignment="1">
      <alignment horizontal="center" vertical="center"/>
    </xf>
    <xf numFmtId="172" fontId="3" fillId="2" borderId="0" xfId="4" applyNumberFormat="1" applyFont="1" applyFill="1" applyAlignment="1">
      <alignment horizontal="left" vertical="center"/>
    </xf>
    <xf numFmtId="0" fontId="5" fillId="0" borderId="1" xfId="7" applyFont="1" applyBorder="1" applyAlignment="1">
      <alignment horizontal="left" vertical="center"/>
    </xf>
    <xf numFmtId="0" fontId="24" fillId="0" borderId="0" xfId="26" applyFont="1" applyAlignment="1">
      <alignment horizontal="left"/>
    </xf>
    <xf numFmtId="0" fontId="5" fillId="0" borderId="0" xfId="26" applyFont="1"/>
    <xf numFmtId="0" fontId="25" fillId="0" borderId="0" xfId="26" applyFont="1" applyAlignment="1">
      <alignment horizontal="left"/>
    </xf>
    <xf numFmtId="1" fontId="5" fillId="9" borderId="0" xfId="4" applyNumberFormat="1" applyFont="1" applyFill="1" applyAlignment="1">
      <alignment horizontal="center" vertical="center"/>
    </xf>
    <xf numFmtId="1" fontId="3" fillId="2" borderId="0" xfId="0" applyNumberFormat="1" applyFont="1" applyFill="1" applyAlignment="1">
      <alignment horizontal="center" vertical="center"/>
    </xf>
    <xf numFmtId="179" fontId="3" fillId="2" borderId="0" xfId="1" applyNumberFormat="1" applyFont="1" applyFill="1" applyBorder="1" applyAlignment="1">
      <alignment horizontal="right" vertical="center"/>
    </xf>
    <xf numFmtId="179" fontId="5" fillId="2" borderId="0" xfId="1" applyNumberFormat="1" applyFont="1" applyFill="1" applyBorder="1" applyAlignment="1">
      <alignment horizontal="right" vertical="center"/>
    </xf>
    <xf numFmtId="179" fontId="5" fillId="8" borderId="0" xfId="1" applyNumberFormat="1" applyFont="1" applyFill="1" applyBorder="1" applyAlignment="1">
      <alignment horizontal="center" vertical="center" wrapText="1"/>
    </xf>
    <xf numFmtId="179" fontId="5" fillId="8" borderId="0" xfId="1" applyNumberFormat="1" applyFont="1" applyFill="1" applyBorder="1" applyAlignment="1">
      <alignment horizontal="center" vertical="center"/>
    </xf>
    <xf numFmtId="179" fontId="3" fillId="8" borderId="0" xfId="1" applyNumberFormat="1" applyFont="1" applyFill="1" applyBorder="1" applyAlignment="1">
      <alignment horizontal="center" vertical="center"/>
    </xf>
    <xf numFmtId="179" fontId="27" fillId="8" borderId="0" xfId="1" applyNumberFormat="1" applyFont="1" applyFill="1" applyBorder="1" applyAlignment="1">
      <alignment horizontal="center" vertical="center" wrapText="1"/>
    </xf>
    <xf numFmtId="179" fontId="8" fillId="8" borderId="0" xfId="1" applyNumberFormat="1" applyFont="1" applyFill="1" applyBorder="1" applyAlignment="1">
      <alignment horizontal="center" vertical="center"/>
    </xf>
    <xf numFmtId="180" fontId="0" fillId="0" borderId="0" xfId="0" applyNumberFormat="1"/>
    <xf numFmtId="180" fontId="9" fillId="0" borderId="0" xfId="0" applyNumberFormat="1" applyFont="1" applyAlignment="1">
      <alignment horizontal="center"/>
    </xf>
    <xf numFmtId="180" fontId="9" fillId="0" borderId="30" xfId="0" applyNumberFormat="1" applyFont="1" applyBorder="1"/>
    <xf numFmtId="180" fontId="9" fillId="0" borderId="0" xfId="0" applyNumberFormat="1" applyFont="1"/>
    <xf numFmtId="0" fontId="9" fillId="0" borderId="0" xfId="0" applyFont="1" applyAlignment="1">
      <alignment horizontal="center"/>
    </xf>
    <xf numFmtId="180" fontId="0" fillId="0" borderId="30" xfId="0" applyNumberFormat="1" applyBorder="1"/>
    <xf numFmtId="9" fontId="0" fillId="0" borderId="0" xfId="0" applyNumberFormat="1"/>
    <xf numFmtId="0" fontId="9" fillId="0" borderId="25" xfId="0" applyFont="1" applyBorder="1" applyAlignment="1">
      <alignment horizontal="center"/>
    </xf>
    <xf numFmtId="0" fontId="9" fillId="0" borderId="25" xfId="0" applyFont="1" applyBorder="1"/>
    <xf numFmtId="0" fontId="9" fillId="0" borderId="0" xfId="0" applyFont="1"/>
    <xf numFmtId="181" fontId="0" fillId="0" borderId="0" xfId="0" applyNumberFormat="1"/>
    <xf numFmtId="179" fontId="0" fillId="0" borderId="0" xfId="1" applyNumberFormat="1" applyFont="1"/>
    <xf numFmtId="1" fontId="3" fillId="2" borderId="0" xfId="0" applyNumberFormat="1" applyFont="1" applyFill="1" applyAlignment="1">
      <alignment horizontal="left" vertical="center"/>
    </xf>
    <xf numFmtId="166" fontId="21" fillId="2" borderId="0" xfId="1" applyNumberFormat="1" applyFont="1" applyFill="1" applyBorder="1" applyAlignment="1">
      <alignment vertical="center"/>
    </xf>
    <xf numFmtId="166" fontId="3" fillId="2" borderId="0" xfId="1" applyNumberFormat="1" applyFont="1" applyFill="1" applyBorder="1" applyAlignment="1">
      <alignment horizontal="right" vertical="center"/>
    </xf>
    <xf numFmtId="14" fontId="3" fillId="0" borderId="0" xfId="7" applyNumberFormat="1" applyFont="1" applyAlignment="1">
      <alignment horizontal="center" vertical="center"/>
    </xf>
    <xf numFmtId="172" fontId="5" fillId="0" borderId="1" xfId="1" applyNumberFormat="1" applyFont="1" applyBorder="1" applyAlignment="1">
      <alignment horizontal="right" vertical="center"/>
    </xf>
    <xf numFmtId="9" fontId="10" fillId="2" borderId="0" xfId="11" applyFont="1" applyFill="1" applyBorder="1" applyAlignment="1">
      <alignment vertical="center"/>
    </xf>
    <xf numFmtId="0" fontId="3" fillId="11" borderId="3" xfId="7" applyFont="1" applyFill="1" applyBorder="1" applyAlignment="1">
      <alignment horizontal="center" vertical="center"/>
    </xf>
    <xf numFmtId="0" fontId="3" fillId="11" borderId="5" xfId="7" applyFont="1" applyFill="1" applyBorder="1" applyAlignment="1">
      <alignment horizontal="center" vertical="center"/>
    </xf>
    <xf numFmtId="0" fontId="3" fillId="0" borderId="1" xfId="7" applyFont="1" applyBorder="1" applyAlignment="1">
      <alignment horizontal="center" vertical="center" wrapText="1"/>
    </xf>
    <xf numFmtId="0" fontId="3" fillId="11" borderId="1" xfId="7" applyFont="1" applyFill="1" applyBorder="1" applyAlignment="1">
      <alignment horizontal="left" vertical="center"/>
    </xf>
    <xf numFmtId="172" fontId="3" fillId="11" borderId="1" xfId="7" applyNumberFormat="1" applyFont="1" applyFill="1" applyBorder="1" applyAlignment="1">
      <alignment horizontal="right" vertical="center"/>
    </xf>
    <xf numFmtId="0" fontId="5" fillId="11" borderId="1" xfId="7" applyFont="1" applyFill="1" applyBorder="1" applyAlignment="1">
      <alignment horizontal="left" vertical="center"/>
    </xf>
    <xf numFmtId="0" fontId="3" fillId="11" borderId="9" xfId="7" applyFont="1" applyFill="1" applyBorder="1" applyAlignment="1">
      <alignment horizontal="left" vertical="center"/>
    </xf>
    <xf numFmtId="44" fontId="3" fillId="11" borderId="9" xfId="7" applyNumberFormat="1" applyFont="1" applyFill="1" applyBorder="1" applyAlignment="1">
      <alignment horizontal="left" vertical="center"/>
    </xf>
    <xf numFmtId="0" fontId="5" fillId="2" borderId="0" xfId="0" applyFont="1" applyFill="1" applyAlignment="1">
      <alignment horizontal="right" vertical="center"/>
    </xf>
    <xf numFmtId="165" fontId="5" fillId="2" borderId="0" xfId="7" applyNumberFormat="1" applyFont="1" applyFill="1" applyAlignment="1">
      <alignment horizontal="right" vertical="center"/>
    </xf>
    <xf numFmtId="164" fontId="5" fillId="2" borderId="0" xfId="7" applyNumberFormat="1" applyFont="1" applyFill="1" applyAlignment="1">
      <alignment horizontal="right" vertical="center"/>
    </xf>
    <xf numFmtId="0" fontId="3" fillId="2" borderId="0" xfId="4" applyFont="1" applyFill="1" applyAlignment="1">
      <alignment horizontal="right" vertical="center"/>
    </xf>
    <xf numFmtId="0" fontId="5" fillId="9" borderId="0" xfId="4" applyFont="1" applyFill="1" applyAlignment="1">
      <alignment horizontal="right" vertical="center"/>
    </xf>
    <xf numFmtId="0" fontId="10" fillId="9" borderId="0" xfId="4" applyFont="1" applyFill="1" applyAlignment="1">
      <alignment horizontal="right" vertical="center"/>
    </xf>
    <xf numFmtId="0" fontId="11" fillId="0" borderId="16" xfId="0" applyFont="1" applyBorder="1"/>
    <xf numFmtId="9" fontId="13" fillId="0" borderId="18" xfId="11" applyFont="1" applyFill="1" applyBorder="1" applyAlignment="1">
      <alignment horizontal="right"/>
    </xf>
    <xf numFmtId="43" fontId="14" fillId="0" borderId="23" xfId="1" applyFont="1" applyBorder="1"/>
    <xf numFmtId="43" fontId="3" fillId="0" borderId="31" xfId="1" applyFont="1" applyFill="1" applyBorder="1"/>
    <xf numFmtId="43" fontId="14" fillId="0" borderId="32" xfId="1" applyFont="1" applyBorder="1"/>
    <xf numFmtId="176" fontId="3" fillId="0" borderId="31" xfId="1" applyNumberFormat="1" applyFont="1" applyFill="1" applyBorder="1"/>
    <xf numFmtId="9" fontId="13" fillId="0" borderId="32" xfId="11" applyFont="1" applyFill="1" applyBorder="1" applyAlignment="1">
      <alignment horizontal="right"/>
    </xf>
    <xf numFmtId="9" fontId="13" fillId="0" borderId="33" xfId="11" applyFont="1" applyFill="1" applyBorder="1" applyAlignment="1">
      <alignment horizontal="right"/>
    </xf>
    <xf numFmtId="43" fontId="14" fillId="0" borderId="1" xfId="1" applyFont="1" applyBorder="1"/>
    <xf numFmtId="4" fontId="0" fillId="0" borderId="0" xfId="0" applyNumberFormat="1"/>
    <xf numFmtId="2" fontId="3" fillId="2" borderId="0" xfId="0" applyNumberFormat="1" applyFont="1" applyFill="1" applyAlignment="1">
      <alignment horizontal="center" vertical="center"/>
    </xf>
    <xf numFmtId="2" fontId="3" fillId="2" borderId="0" xfId="4" quotePrefix="1" applyNumberFormat="1" applyFont="1" applyFill="1" applyAlignment="1">
      <alignment horizontal="left" vertical="center"/>
    </xf>
    <xf numFmtId="6" fontId="3" fillId="2" borderId="0" xfId="11" applyNumberFormat="1" applyFont="1" applyFill="1" applyBorder="1" applyAlignment="1">
      <alignment vertical="center"/>
    </xf>
    <xf numFmtId="173" fontId="3" fillId="2" borderId="0" xfId="0" applyNumberFormat="1" applyFont="1" applyFill="1" applyAlignment="1">
      <alignment vertical="center"/>
    </xf>
    <xf numFmtId="9" fontId="5" fillId="0" borderId="0" xfId="11" applyFont="1"/>
    <xf numFmtId="174" fontId="0" fillId="0" borderId="0" xfId="1" applyNumberFormat="1" applyFont="1"/>
    <xf numFmtId="43" fontId="9" fillId="0" borderId="34" xfId="1" applyFont="1" applyBorder="1"/>
    <xf numFmtId="43" fontId="9" fillId="0" borderId="35" xfId="1" applyFont="1" applyBorder="1"/>
    <xf numFmtId="6" fontId="5" fillId="0" borderId="0" xfId="1" applyNumberFormat="1" applyFont="1"/>
    <xf numFmtId="43" fontId="9" fillId="0" borderId="0" xfId="1" applyFont="1"/>
    <xf numFmtId="43" fontId="0" fillId="9" borderId="0" xfId="1" applyFont="1" applyFill="1"/>
    <xf numFmtId="43" fontId="0" fillId="0" borderId="0" xfId="0" applyNumberFormat="1"/>
    <xf numFmtId="6" fontId="5" fillId="9" borderId="0" xfId="1" applyNumberFormat="1" applyFont="1" applyFill="1"/>
    <xf numFmtId="43" fontId="28" fillId="9" borderId="0" xfId="1" applyFont="1" applyFill="1" applyAlignment="1">
      <alignment horizontal="right"/>
    </xf>
    <xf numFmtId="2" fontId="0" fillId="0" borderId="0" xfId="0" applyNumberFormat="1"/>
    <xf numFmtId="177" fontId="38" fillId="0" borderId="18" xfId="0" applyNumberFormat="1" applyFont="1" applyBorder="1"/>
    <xf numFmtId="43" fontId="39" fillId="0" borderId="0" xfId="1" applyFont="1"/>
    <xf numFmtId="43" fontId="29" fillId="0" borderId="26" xfId="1" applyFont="1" applyBorder="1"/>
    <xf numFmtId="6" fontId="29" fillId="0" borderId="26" xfId="1" applyNumberFormat="1" applyFont="1" applyBorder="1"/>
    <xf numFmtId="6" fontId="0" fillId="0" borderId="31" xfId="1" applyNumberFormat="1" applyFont="1" applyBorder="1"/>
    <xf numFmtId="6" fontId="0" fillId="0" borderId="33" xfId="1" applyNumberFormat="1" applyFont="1" applyBorder="1"/>
    <xf numFmtId="43" fontId="0" fillId="0" borderId="1" xfId="1" applyFont="1" applyBorder="1"/>
    <xf numFmtId="0" fontId="37" fillId="0" borderId="0" xfId="82" applyFont="1" applyAlignment="1">
      <alignment horizontal="left"/>
    </xf>
    <xf numFmtId="14" fontId="36" fillId="0" borderId="0" xfId="82" applyNumberFormat="1" applyFont="1"/>
    <xf numFmtId="0" fontId="35" fillId="0" borderId="0" xfId="82" applyFont="1"/>
    <xf numFmtId="0" fontId="31" fillId="0" borderId="0" xfId="82" applyFont="1"/>
    <xf numFmtId="0" fontId="36" fillId="0" borderId="0" xfId="82" applyFont="1"/>
    <xf numFmtId="0" fontId="34" fillId="0" borderId="0" xfId="82" applyFont="1"/>
    <xf numFmtId="14" fontId="33" fillId="0" borderId="0" xfId="82" applyNumberFormat="1" applyFont="1"/>
    <xf numFmtId="1" fontId="33" fillId="0" borderId="0" xfId="82" applyNumberFormat="1" applyFont="1"/>
    <xf numFmtId="0" fontId="31" fillId="0" borderId="0" xfId="0" applyFont="1"/>
    <xf numFmtId="2" fontId="33" fillId="0" borderId="0" xfId="82" applyNumberFormat="1" applyFont="1"/>
    <xf numFmtId="0" fontId="31" fillId="0" borderId="0" xfId="82" applyFont="1" applyAlignment="1">
      <alignment horizontal="center"/>
    </xf>
    <xf numFmtId="2" fontId="33" fillId="0" borderId="0" xfId="82" applyNumberFormat="1" applyFont="1" applyAlignment="1">
      <alignment horizontal="center"/>
    </xf>
    <xf numFmtId="2" fontId="32" fillId="0" borderId="0" xfId="82" applyNumberFormat="1" applyFont="1"/>
    <xf numFmtId="2" fontId="31" fillId="0" borderId="0" xfId="82" applyNumberFormat="1" applyFont="1"/>
    <xf numFmtId="0" fontId="40" fillId="0" borderId="0" xfId="0" applyFont="1" applyAlignment="1">
      <alignment horizontal="left"/>
    </xf>
    <xf numFmtId="0" fontId="40" fillId="0" borderId="0" xfId="0" applyFont="1"/>
    <xf numFmtId="43" fontId="40" fillId="0" borderId="0" xfId="1" applyFont="1" applyAlignment="1">
      <alignment horizontal="right"/>
    </xf>
    <xf numFmtId="0" fontId="41" fillId="0" borderId="0" xfId="0" applyFont="1"/>
    <xf numFmtId="43" fontId="41" fillId="0" borderId="4" xfId="1" applyFont="1" applyFill="1" applyBorder="1" applyAlignment="1"/>
    <xf numFmtId="0" fontId="2" fillId="0" borderId="0" xfId="7"/>
    <xf numFmtId="9" fontId="0" fillId="0" borderId="0" xfId="9" applyFont="1"/>
    <xf numFmtId="0" fontId="42" fillId="0" borderId="0" xfId="7" applyFont="1"/>
    <xf numFmtId="182" fontId="42" fillId="0" borderId="0" xfId="83" applyFont="1"/>
    <xf numFmtId="14" fontId="2" fillId="0" borderId="0" xfId="7" applyNumberFormat="1"/>
    <xf numFmtId="182" fontId="0" fillId="0" borderId="0" xfId="83" applyFont="1"/>
    <xf numFmtId="43" fontId="2" fillId="0" borderId="0" xfId="7" applyNumberFormat="1"/>
    <xf numFmtId="49" fontId="1" fillId="0" borderId="0" xfId="84" applyNumberFormat="1"/>
    <xf numFmtId="2" fontId="1" fillId="0" borderId="0" xfId="84" applyNumberFormat="1"/>
    <xf numFmtId="49" fontId="1" fillId="0" borderId="14" xfId="84" applyNumberFormat="1" applyBorder="1"/>
    <xf numFmtId="2" fontId="1" fillId="0" borderId="14" xfId="84" applyNumberFormat="1" applyBorder="1"/>
    <xf numFmtId="43" fontId="42" fillId="0" borderId="21" xfId="7" applyNumberFormat="1" applyFont="1" applyBorder="1"/>
    <xf numFmtId="2" fontId="2" fillId="0" borderId="0" xfId="7" applyNumberFormat="1"/>
    <xf numFmtId="182" fontId="2" fillId="0" borderId="0" xfId="83" applyFont="1"/>
    <xf numFmtId="0" fontId="44" fillId="12" borderId="0" xfId="85" applyFont="1" applyFill="1"/>
    <xf numFmtId="2" fontId="41" fillId="12" borderId="0" xfId="85" applyNumberFormat="1" applyFont="1" applyFill="1"/>
    <xf numFmtId="0" fontId="41" fillId="12" borderId="0" xfId="85" applyFont="1" applyFill="1"/>
    <xf numFmtId="0" fontId="40" fillId="12" borderId="0" xfId="85" applyFont="1" applyFill="1" applyAlignment="1">
      <alignment horizontal="right"/>
    </xf>
    <xf numFmtId="0" fontId="40" fillId="12" borderId="0" xfId="85" applyFont="1" applyFill="1"/>
    <xf numFmtId="0" fontId="40" fillId="12" borderId="0" xfId="85" applyFont="1" applyFill="1" applyAlignment="1">
      <alignment horizontal="left"/>
    </xf>
    <xf numFmtId="1" fontId="41" fillId="12" borderId="0" xfId="85" applyNumberFormat="1" applyFont="1" applyFill="1"/>
    <xf numFmtId="0" fontId="45" fillId="12" borderId="0" xfId="85" applyFont="1" applyFill="1"/>
    <xf numFmtId="14" fontId="41" fillId="12" borderId="0" xfId="85" applyNumberFormat="1" applyFont="1" applyFill="1"/>
    <xf numFmtId="0" fontId="46" fillId="12" borderId="0" xfId="85" applyFont="1" applyFill="1"/>
    <xf numFmtId="0" fontId="47" fillId="12" borderId="0" xfId="85" applyFont="1" applyFill="1"/>
    <xf numFmtId="0" fontId="48" fillId="12" borderId="0" xfId="85" applyFont="1" applyFill="1" applyAlignment="1">
      <alignment horizontal="left"/>
    </xf>
    <xf numFmtId="14" fontId="47" fillId="12" borderId="0" xfId="85" applyNumberFormat="1" applyFont="1" applyFill="1"/>
    <xf numFmtId="2" fontId="41" fillId="12" borderId="31" xfId="85" applyNumberFormat="1" applyFont="1" applyFill="1" applyBorder="1"/>
    <xf numFmtId="2" fontId="41" fillId="12" borderId="32" xfId="85" applyNumberFormat="1" applyFont="1" applyFill="1" applyBorder="1"/>
    <xf numFmtId="2" fontId="41" fillId="12" borderId="33" xfId="85" applyNumberFormat="1" applyFont="1" applyFill="1" applyBorder="1"/>
    <xf numFmtId="179" fontId="5" fillId="8" borderId="0" xfId="1" applyNumberFormat="1" applyFont="1" applyFill="1" applyBorder="1" applyAlignment="1">
      <alignment vertical="center"/>
    </xf>
    <xf numFmtId="179" fontId="21" fillId="8" borderId="0" xfId="1" applyNumberFormat="1" applyFont="1" applyFill="1" applyBorder="1" applyAlignment="1">
      <alignment vertical="center"/>
    </xf>
    <xf numFmtId="179" fontId="21" fillId="7" borderId="0" xfId="1" applyNumberFormat="1" applyFont="1" applyFill="1" applyBorder="1" applyAlignment="1">
      <alignment vertical="center"/>
    </xf>
    <xf numFmtId="179" fontId="8" fillId="7" borderId="0" xfId="1" applyNumberFormat="1" applyFont="1" applyFill="1" applyBorder="1" applyAlignment="1">
      <alignment horizontal="right" vertical="center"/>
    </xf>
    <xf numFmtId="179" fontId="5" fillId="7" borderId="0" xfId="1" applyNumberFormat="1" applyFont="1" applyFill="1" applyBorder="1" applyAlignment="1">
      <alignment horizontal="right" vertical="center"/>
    </xf>
    <xf numFmtId="179" fontId="27" fillId="7" borderId="0" xfId="1" applyNumberFormat="1" applyFont="1" applyFill="1" applyBorder="1" applyAlignment="1">
      <alignment horizontal="right" vertical="center"/>
    </xf>
    <xf numFmtId="179" fontId="3" fillId="7" borderId="0" xfId="1" applyNumberFormat="1" applyFont="1" applyFill="1" applyBorder="1" applyAlignment="1">
      <alignment horizontal="right" vertical="center" wrapText="1"/>
    </xf>
    <xf numFmtId="179" fontId="3" fillId="7" borderId="0" xfId="1" applyNumberFormat="1" applyFont="1" applyFill="1" applyBorder="1" applyAlignment="1">
      <alignment horizontal="right" vertical="center"/>
    </xf>
    <xf numFmtId="179" fontId="27" fillId="7" borderId="0" xfId="1" applyNumberFormat="1" applyFont="1" applyFill="1" applyBorder="1" applyAlignment="1">
      <alignment horizontal="right" vertical="center" wrapText="1"/>
    </xf>
    <xf numFmtId="179" fontId="5" fillId="7" borderId="0" xfId="1" applyNumberFormat="1" applyFont="1" applyFill="1" applyBorder="1" applyAlignment="1">
      <alignment horizontal="right" vertical="center" wrapText="1"/>
    </xf>
    <xf numFmtId="43" fontId="44" fillId="12" borderId="0" xfId="1" applyFont="1" applyFill="1"/>
    <xf numFmtId="1" fontId="8" fillId="2" borderId="0" xfId="4" applyNumberFormat="1" applyFont="1" applyFill="1" applyAlignment="1">
      <alignment horizontal="center" vertical="center"/>
    </xf>
    <xf numFmtId="0" fontId="8" fillId="2" borderId="0" xfId="0" applyFont="1" applyFill="1" applyAlignment="1">
      <alignment horizontal="center" vertical="center"/>
    </xf>
    <xf numFmtId="179" fontId="5" fillId="7" borderId="0" xfId="1" applyNumberFormat="1" applyFont="1" applyFill="1" applyBorder="1" applyAlignment="1">
      <alignment vertical="center"/>
    </xf>
    <xf numFmtId="179" fontId="3" fillId="8" borderId="4" xfId="1" applyNumberFormat="1" applyFont="1" applyFill="1" applyBorder="1" applyAlignment="1">
      <alignment vertical="center"/>
    </xf>
    <xf numFmtId="179" fontId="3" fillId="7" borderId="4" xfId="1" applyNumberFormat="1" applyFont="1" applyFill="1" applyBorder="1" applyAlignment="1">
      <alignment vertical="center"/>
    </xf>
    <xf numFmtId="43" fontId="3" fillId="2" borderId="0" xfId="1" applyFont="1" applyFill="1" applyBorder="1" applyAlignment="1">
      <alignment horizontal="justify" vertical="justify"/>
    </xf>
    <xf numFmtId="10" fontId="8" fillId="7" borderId="0" xfId="11" applyNumberFormat="1" applyFont="1" applyFill="1" applyBorder="1" applyAlignment="1">
      <alignment vertical="center"/>
    </xf>
    <xf numFmtId="166" fontId="5" fillId="2" borderId="0" xfId="1" applyNumberFormat="1" applyFont="1" applyFill="1" applyBorder="1" applyAlignment="1">
      <alignment vertical="top"/>
    </xf>
    <xf numFmtId="0" fontId="22" fillId="0" borderId="0" xfId="0" applyFont="1" applyAlignment="1">
      <alignment vertical="top"/>
    </xf>
    <xf numFmtId="43" fontId="3" fillId="2" borderId="4" xfId="1" applyFont="1" applyFill="1" applyBorder="1" applyAlignment="1">
      <alignment horizontal="justify" vertical="justify"/>
    </xf>
    <xf numFmtId="179" fontId="3" fillId="8" borderId="4" xfId="1" applyNumberFormat="1" applyFont="1" applyFill="1" applyBorder="1" applyAlignment="1">
      <alignment horizontal="center" vertical="center" wrapText="1"/>
    </xf>
    <xf numFmtId="179" fontId="27" fillId="7" borderId="4" xfId="1" applyNumberFormat="1" applyFont="1" applyFill="1" applyBorder="1" applyAlignment="1">
      <alignment horizontal="right" vertical="center"/>
    </xf>
    <xf numFmtId="10" fontId="4" fillId="7" borderId="4" xfId="11" applyNumberFormat="1" applyFont="1" applyFill="1" applyBorder="1" applyAlignment="1">
      <alignment vertical="center"/>
    </xf>
    <xf numFmtId="179" fontId="3" fillId="8" borderId="4" xfId="1" applyNumberFormat="1" applyFont="1" applyFill="1" applyBorder="1" applyAlignment="1">
      <alignment horizontal="center" vertical="center"/>
    </xf>
    <xf numFmtId="179" fontId="3" fillId="7" borderId="4" xfId="1" applyNumberFormat="1" applyFont="1" applyFill="1" applyBorder="1" applyAlignment="1">
      <alignment horizontal="right" vertical="center"/>
    </xf>
    <xf numFmtId="179" fontId="4" fillId="7" borderId="4" xfId="1" applyNumberFormat="1" applyFont="1" applyFill="1" applyBorder="1" applyAlignment="1">
      <alignment horizontal="right" vertical="center"/>
    </xf>
    <xf numFmtId="10" fontId="4" fillId="2" borderId="0" xfId="11" applyNumberFormat="1" applyFont="1" applyFill="1" applyBorder="1" applyAlignment="1">
      <alignment horizontal="right" vertical="center"/>
    </xf>
    <xf numFmtId="10" fontId="8" fillId="2" borderId="0" xfId="11" applyNumberFormat="1" applyFont="1" applyFill="1" applyBorder="1" applyAlignment="1">
      <alignment horizontal="right" vertical="center"/>
    </xf>
    <xf numFmtId="10" fontId="4" fillId="8" borderId="0" xfId="11" applyNumberFormat="1" applyFont="1" applyFill="1" applyBorder="1" applyAlignment="1">
      <alignment horizontal="center" vertical="center" wrapText="1"/>
    </xf>
    <xf numFmtId="10" fontId="4" fillId="7" borderId="4" xfId="11" applyNumberFormat="1" applyFont="1" applyFill="1" applyBorder="1" applyAlignment="1">
      <alignment horizontal="right" vertical="center"/>
    </xf>
    <xf numFmtId="10" fontId="4" fillId="7" borderId="0" xfId="11" applyNumberFormat="1" applyFont="1" applyFill="1" applyBorder="1" applyAlignment="1">
      <alignment horizontal="right" vertical="center"/>
    </xf>
    <xf numFmtId="10" fontId="4" fillId="7" borderId="0" xfId="11" applyNumberFormat="1" applyFont="1" applyFill="1" applyBorder="1" applyAlignment="1">
      <alignment horizontal="right" vertical="center" wrapText="1"/>
    </xf>
    <xf numFmtId="10" fontId="8" fillId="7" borderId="0" xfId="11" applyNumberFormat="1" applyFont="1" applyFill="1" applyBorder="1" applyAlignment="1">
      <alignment horizontal="right" vertical="center"/>
    </xf>
    <xf numFmtId="10" fontId="8" fillId="7" borderId="0" xfId="11" applyNumberFormat="1" applyFont="1" applyFill="1" applyBorder="1" applyAlignment="1">
      <alignment horizontal="right" vertical="center" wrapText="1"/>
    </xf>
    <xf numFmtId="10" fontId="26" fillId="7" borderId="0" xfId="11" applyNumberFormat="1" applyFont="1" applyFill="1" applyBorder="1" applyAlignment="1">
      <alignment vertical="center"/>
    </xf>
    <xf numFmtId="10" fontId="8" fillId="8" borderId="0" xfId="11" applyNumberFormat="1" applyFont="1" applyFill="1" applyBorder="1" applyAlignment="1">
      <alignment vertical="center"/>
    </xf>
    <xf numFmtId="6" fontId="5" fillId="2" borderId="0" xfId="0" applyNumberFormat="1" applyFont="1" applyFill="1" applyAlignment="1">
      <alignment horizontal="justify" vertical="top"/>
    </xf>
    <xf numFmtId="179" fontId="3" fillId="8" borderId="0" xfId="1" applyNumberFormat="1" applyFont="1" applyFill="1" applyBorder="1" applyAlignment="1">
      <alignment horizontal="justify" vertical="top" wrapText="1"/>
    </xf>
    <xf numFmtId="6" fontId="10" fillId="2" borderId="0" xfId="1" applyNumberFormat="1" applyFont="1" applyFill="1" applyBorder="1" applyAlignment="1">
      <alignment horizontal="justify" vertical="top"/>
    </xf>
    <xf numFmtId="43" fontId="10" fillId="2" borderId="0" xfId="1" applyFont="1" applyFill="1" applyBorder="1" applyAlignment="1">
      <alignment horizontal="justify" vertical="top"/>
    </xf>
    <xf numFmtId="43" fontId="3" fillId="2" borderId="4" xfId="1" applyFont="1" applyFill="1" applyBorder="1" applyAlignment="1">
      <alignment horizontal="justify" vertical="top"/>
    </xf>
    <xf numFmtId="6" fontId="10" fillId="2" borderId="0" xfId="1" applyNumberFormat="1" applyFont="1" applyFill="1" applyBorder="1" applyAlignment="1">
      <alignment horizontal="justify" vertical="top" wrapText="1"/>
    </xf>
    <xf numFmtId="166" fontId="21" fillId="2" borderId="0" xfId="1" applyNumberFormat="1" applyFont="1" applyFill="1" applyBorder="1" applyAlignment="1">
      <alignment horizontal="justify" vertical="top"/>
    </xf>
    <xf numFmtId="6" fontId="5" fillId="2" borderId="0" xfId="11" applyNumberFormat="1" applyFont="1" applyFill="1" applyBorder="1" applyAlignment="1">
      <alignment horizontal="justify" vertical="top"/>
    </xf>
    <xf numFmtId="173" fontId="10" fillId="7" borderId="0" xfId="1" applyNumberFormat="1" applyFont="1" applyFill="1" applyBorder="1" applyAlignment="1">
      <alignment vertical="center"/>
    </xf>
    <xf numFmtId="173" fontId="5" fillId="7" borderId="0" xfId="1" applyNumberFormat="1" applyFont="1" applyFill="1" applyBorder="1" applyAlignment="1">
      <alignment vertical="center"/>
    </xf>
    <xf numFmtId="9" fontId="0" fillId="0" borderId="0" xfId="11" applyFont="1"/>
    <xf numFmtId="173" fontId="3" fillId="2" borderId="0" xfId="0" applyNumberFormat="1" applyFont="1" applyFill="1" applyAlignment="1">
      <alignment horizontal="left" vertical="center"/>
    </xf>
    <xf numFmtId="179" fontId="3" fillId="8" borderId="0" xfId="1" applyNumberFormat="1" applyFont="1" applyFill="1" applyBorder="1" applyAlignment="1">
      <alignment vertical="center"/>
    </xf>
    <xf numFmtId="10" fontId="4" fillId="8" borderId="0" xfId="11" applyNumberFormat="1" applyFont="1" applyFill="1" applyBorder="1" applyAlignment="1">
      <alignment vertical="center"/>
    </xf>
    <xf numFmtId="6" fontId="3" fillId="2" borderId="0" xfId="0" applyNumberFormat="1" applyFont="1" applyFill="1" applyAlignment="1">
      <alignment horizontal="justify" vertical="top"/>
    </xf>
    <xf numFmtId="6" fontId="3" fillId="2" borderId="0" xfId="0" applyNumberFormat="1" applyFont="1" applyFill="1" applyAlignment="1">
      <alignment vertical="center"/>
    </xf>
    <xf numFmtId="164" fontId="3" fillId="2" borderId="0" xfId="7" applyNumberFormat="1" applyFont="1" applyFill="1" applyAlignment="1">
      <alignment horizontal="left" vertical="center"/>
    </xf>
    <xf numFmtId="173" fontId="3" fillId="8" borderId="0" xfId="1" applyNumberFormat="1" applyFont="1" applyFill="1" applyBorder="1" applyAlignment="1">
      <alignment vertical="center"/>
    </xf>
    <xf numFmtId="174" fontId="3" fillId="2" borderId="0" xfId="11" applyNumberFormat="1" applyFont="1" applyFill="1" applyBorder="1" applyAlignment="1">
      <alignment horizontal="center" vertical="center"/>
    </xf>
    <xf numFmtId="165" fontId="3" fillId="2" borderId="0" xfId="7" applyNumberFormat="1" applyFont="1" applyFill="1" applyAlignment="1">
      <alignment horizontal="left" vertical="center"/>
    </xf>
    <xf numFmtId="9" fontId="5" fillId="0" borderId="0" xfId="11" applyFont="1" applyAlignment="1">
      <alignment horizontal="left" vertical="center"/>
    </xf>
    <xf numFmtId="173" fontId="3" fillId="7" borderId="0" xfId="1" applyNumberFormat="1" applyFont="1" applyFill="1" applyBorder="1" applyAlignment="1">
      <alignment vertical="center"/>
    </xf>
    <xf numFmtId="173" fontId="3" fillId="7" borderId="0" xfId="1" applyNumberFormat="1" applyFont="1" applyFill="1" applyBorder="1" applyAlignment="1">
      <alignment horizontal="center" vertical="center" wrapText="1"/>
    </xf>
    <xf numFmtId="173" fontId="5" fillId="7" borderId="0" xfId="1" applyNumberFormat="1" applyFont="1" applyFill="1" applyBorder="1" applyAlignment="1">
      <alignment horizontal="right" vertical="center"/>
    </xf>
    <xf numFmtId="166" fontId="21" fillId="8" borderId="4" xfId="1" applyNumberFormat="1" applyFont="1" applyFill="1" applyBorder="1" applyAlignment="1">
      <alignment vertical="center"/>
    </xf>
    <xf numFmtId="166" fontId="21" fillId="7" borderId="4" xfId="1" applyNumberFormat="1" applyFont="1" applyFill="1" applyBorder="1" applyAlignment="1">
      <alignment vertical="center"/>
    </xf>
    <xf numFmtId="10" fontId="3" fillId="2" borderId="0" xfId="11" applyNumberFormat="1" applyFont="1" applyFill="1" applyBorder="1" applyAlignment="1">
      <alignment horizontal="center" vertical="center" wrapText="1"/>
    </xf>
    <xf numFmtId="10" fontId="3" fillId="2" borderId="4" xfId="11" applyNumberFormat="1" applyFont="1" applyFill="1" applyBorder="1" applyAlignment="1">
      <alignment vertical="center"/>
    </xf>
    <xf numFmtId="10" fontId="5" fillId="2" borderId="0" xfId="11" applyNumberFormat="1" applyFont="1" applyFill="1" applyBorder="1" applyAlignment="1">
      <alignment horizontal="center" vertical="center"/>
    </xf>
    <xf numFmtId="43" fontId="9" fillId="0" borderId="36" xfId="1" applyFont="1" applyBorder="1"/>
    <xf numFmtId="43" fontId="9" fillId="0" borderId="21" xfId="1" applyFont="1" applyBorder="1"/>
    <xf numFmtId="43" fontId="9" fillId="2" borderId="35" xfId="1" applyFont="1" applyFill="1" applyBorder="1"/>
    <xf numFmtId="9" fontId="0" fillId="2" borderId="0" xfId="11" applyFont="1" applyFill="1" applyBorder="1"/>
    <xf numFmtId="43" fontId="9" fillId="2" borderId="36" xfId="1" applyFont="1" applyFill="1" applyBorder="1"/>
    <xf numFmtId="43" fontId="9" fillId="2" borderId="21" xfId="1" applyFont="1" applyFill="1" applyBorder="1"/>
    <xf numFmtId="0" fontId="0" fillId="2" borderId="37" xfId="0" applyFill="1" applyBorder="1"/>
    <xf numFmtId="0" fontId="0" fillId="2" borderId="38" xfId="0" applyFill="1" applyBorder="1"/>
    <xf numFmtId="0" fontId="0" fillId="2" borderId="39" xfId="0" applyFill="1" applyBorder="1"/>
    <xf numFmtId="0" fontId="0" fillId="2" borderId="40" xfId="0" applyFill="1" applyBorder="1"/>
    <xf numFmtId="0" fontId="0" fillId="2" borderId="0" xfId="0" applyFill="1"/>
    <xf numFmtId="0" fontId="0" fillId="2" borderId="41" xfId="0" applyFill="1" applyBorder="1"/>
    <xf numFmtId="43" fontId="0" fillId="2" borderId="40" xfId="1" applyFont="1" applyFill="1" applyBorder="1"/>
    <xf numFmtId="43" fontId="0" fillId="2" borderId="0" xfId="1" applyFont="1" applyFill="1" applyBorder="1"/>
    <xf numFmtId="43" fontId="0" fillId="2" borderId="40" xfId="0" applyNumberFormat="1" applyFill="1" applyBorder="1"/>
    <xf numFmtId="43" fontId="0" fillId="2" borderId="0" xfId="0" applyNumberFormat="1" applyFill="1"/>
    <xf numFmtId="43" fontId="9" fillId="2" borderId="42" xfId="1" applyFont="1" applyFill="1" applyBorder="1"/>
    <xf numFmtId="9" fontId="0" fillId="2" borderId="40" xfId="0" applyNumberFormat="1" applyFill="1" applyBorder="1"/>
    <xf numFmtId="43" fontId="9" fillId="2" borderId="43" xfId="1" applyFont="1" applyFill="1" applyBorder="1"/>
    <xf numFmtId="43" fontId="9" fillId="2" borderId="44" xfId="1" applyFont="1" applyFill="1" applyBorder="1"/>
    <xf numFmtId="43" fontId="9" fillId="2" borderId="45" xfId="1" applyFont="1" applyFill="1" applyBorder="1"/>
    <xf numFmtId="0" fontId="0" fillId="2" borderId="46" xfId="0" applyFill="1" applyBorder="1"/>
    <xf numFmtId="0" fontId="5" fillId="0" borderId="6" xfId="7" applyFont="1" applyBorder="1" applyAlignment="1">
      <alignment horizontal="left" vertical="center"/>
    </xf>
    <xf numFmtId="0" fontId="5" fillId="0" borderId="1" xfId="7" applyFont="1" applyBorder="1" applyAlignment="1">
      <alignment horizontal="left" vertical="center"/>
    </xf>
    <xf numFmtId="0" fontId="3" fillId="11" borderId="8" xfId="7" applyFont="1" applyFill="1" applyBorder="1" applyAlignment="1">
      <alignment horizontal="left" vertical="center"/>
    </xf>
    <xf numFmtId="0" fontId="3" fillId="11" borderId="9" xfId="7" applyFont="1" applyFill="1" applyBorder="1" applyAlignment="1">
      <alignment horizontal="left" vertical="center"/>
    </xf>
    <xf numFmtId="0" fontId="3" fillId="11" borderId="2" xfId="7" applyFont="1" applyFill="1" applyBorder="1" applyAlignment="1">
      <alignment horizontal="center" vertical="center"/>
    </xf>
    <xf numFmtId="0" fontId="3" fillId="11" borderId="3" xfId="7" applyFont="1" applyFill="1" applyBorder="1" applyAlignment="1">
      <alignment horizontal="center" vertical="center"/>
    </xf>
    <xf numFmtId="0" fontId="11" fillId="10" borderId="10" xfId="0" applyFont="1" applyFill="1" applyBorder="1" applyAlignment="1">
      <alignment horizontal="center"/>
    </xf>
    <xf numFmtId="0" fontId="11" fillId="10" borderId="11" xfId="0" applyFont="1" applyFill="1" applyBorder="1" applyAlignment="1">
      <alignment horizontal="center"/>
    </xf>
    <xf numFmtId="0" fontId="11" fillId="10" borderId="12" xfId="0" applyFont="1" applyFill="1" applyBorder="1" applyAlignment="1">
      <alignment horizontal="center"/>
    </xf>
    <xf numFmtId="0" fontId="11" fillId="10" borderId="13" xfId="0" applyFont="1" applyFill="1" applyBorder="1" applyAlignment="1">
      <alignment horizontal="center"/>
    </xf>
    <xf numFmtId="0" fontId="12" fillId="10" borderId="14" xfId="0" applyFont="1" applyFill="1" applyBorder="1"/>
    <xf numFmtId="0" fontId="12" fillId="10" borderId="15" xfId="0" applyFont="1" applyFill="1" applyBorder="1"/>
    <xf numFmtId="0" fontId="20" fillId="0" borderId="24" xfId="0" applyFont="1" applyBorder="1" applyAlignment="1">
      <alignment horizontal="center"/>
    </xf>
    <xf numFmtId="0" fontId="5" fillId="0" borderId="25" xfId="0" applyFont="1" applyBorder="1" applyAlignment="1">
      <alignment horizontal="center"/>
    </xf>
    <xf numFmtId="0" fontId="5" fillId="0" borderId="23" xfId="0" applyFont="1" applyBorder="1" applyAlignment="1">
      <alignment horizontal="center"/>
    </xf>
    <xf numFmtId="180" fontId="9" fillId="0" borderId="0" xfId="0" applyNumberFormat="1" applyFont="1" applyAlignment="1">
      <alignment horizontal="center"/>
    </xf>
  </cellXfs>
  <cellStyles count="86">
    <cellStyle name="Comma" xfId="1" builtinId="3"/>
    <cellStyle name="Comma 2" xfId="16" xr:uid="{600997A0-034D-4881-BB88-F96509B52EFC}"/>
    <cellStyle name="Comma 2 2" xfId="36" xr:uid="{159252CF-EBED-4CAC-B266-A0464459969C}"/>
    <cellStyle name="Comma 2 2 2" xfId="72" xr:uid="{64F4B0B6-0BCE-4B15-A742-A764D8FA42CA}"/>
    <cellStyle name="Comma 2 3" xfId="54" xr:uid="{47805191-15B5-4FFE-8A5E-440B2993D5FE}"/>
    <cellStyle name="Comma 3" xfId="14" xr:uid="{46443CE8-6CC7-4E90-99EE-4B00924AA36C}"/>
    <cellStyle name="Comma 3 2" xfId="23" xr:uid="{92A31B3F-D0C2-4797-A921-EEFF595A71C4}"/>
    <cellStyle name="Comma 3 2 2" xfId="43" xr:uid="{E5CB2214-8064-4332-B85B-9F7326E97172}"/>
    <cellStyle name="Comma 3 2 2 2" xfId="79" xr:uid="{DBC70676-35C0-4DA8-85A7-11E27579B085}"/>
    <cellStyle name="Comma 3 2 3" xfId="61" xr:uid="{3D153EAB-29D7-4272-94F1-E0E943A6FD50}"/>
    <cellStyle name="Comma 3 3" xfId="34" xr:uid="{61B22C02-FAD3-4894-85BA-EE6436DBB7A8}"/>
    <cellStyle name="Comma 3 3 2" xfId="70" xr:uid="{7725D2C7-58F8-4AD1-9EF1-E13645C971C9}"/>
    <cellStyle name="Comma 3 4" xfId="52" xr:uid="{F970D706-62F2-4286-99F4-3E6ED84C8881}"/>
    <cellStyle name="Comma 4" xfId="27" xr:uid="{03045C72-FAA9-4ACF-A492-A66672DF43FE}"/>
    <cellStyle name="Comma 4 2" xfId="63" xr:uid="{32AEC113-09DB-4745-A268-6A8435D2C324}"/>
    <cellStyle name="Comma 5" xfId="45" xr:uid="{B58B2B5D-874D-4FFC-9AD4-735D485D16A3}"/>
    <cellStyle name="Comma 6" xfId="83" xr:uid="{F95433D8-D8E7-4499-91A6-81FA3652A754}"/>
    <cellStyle name="Currency 10 2 2" xfId="13" xr:uid="{CC9C0565-8B97-4EC4-B8F5-127B3459C470}"/>
    <cellStyle name="Currency 10 2 2 2" xfId="22" xr:uid="{588F6449-3668-46C8-A65C-2A41E1F40EA2}"/>
    <cellStyle name="Currency 10 2 2 2 2" xfId="42" xr:uid="{72FFFE43-4909-4BF6-8FDB-63A445FF88BF}"/>
    <cellStyle name="Currency 10 2 2 2 2 2" xfId="78" xr:uid="{ABDAB103-F227-4BC8-845B-007D7FEC9E3C}"/>
    <cellStyle name="Currency 10 2 2 2 3" xfId="60" xr:uid="{702B7708-DFFC-4978-92E0-79E4F3A4FA6E}"/>
    <cellStyle name="Currency 10 2 2 3" xfId="33" xr:uid="{7BB7FDBC-572A-4DE0-BE6D-765EC0EB64A4}"/>
    <cellStyle name="Currency 10 2 2 3 2" xfId="69" xr:uid="{EA15C254-018E-43DE-9AC5-142236ACE803}"/>
    <cellStyle name="Currency 10 2 2 4" xfId="51" xr:uid="{B3CCE8F3-C528-4E87-B4B9-D5D54924F1EC}"/>
    <cellStyle name="Currency 11" xfId="6" xr:uid="{44283233-C9F5-4C0A-8A2A-A8192DFBAEAD}"/>
    <cellStyle name="Currency 11 2" xfId="18" xr:uid="{E923AEB4-45C5-4E0B-9248-DA80D0D1FA13}"/>
    <cellStyle name="Currency 11 2 2" xfId="38" xr:uid="{EF7D967A-C07B-440F-84F6-D39E72E055DB}"/>
    <cellStyle name="Currency 11 2 2 2" xfId="74" xr:uid="{CD3EFC69-8BEB-4AD4-A11A-F1839FABF7DC}"/>
    <cellStyle name="Currency 11 2 3" xfId="56" xr:uid="{762FB741-C0FD-4A92-B60E-3D091012DAEE}"/>
    <cellStyle name="Currency 11 3" xfId="29" xr:uid="{4ACDE837-839B-4FF6-BD7D-90C29BA21A29}"/>
    <cellStyle name="Currency 11 3 2" xfId="65" xr:uid="{1244DB65-5BBA-4215-ACB7-923A4F9954FE}"/>
    <cellStyle name="Currency 11 4" xfId="47" xr:uid="{8943602D-5D2F-471B-AFD3-717B8460E7B5}"/>
    <cellStyle name="Currency 2" xfId="10" xr:uid="{2AA3309F-A609-4150-8E88-7786CE3FCEBA}"/>
    <cellStyle name="Currency 2 2" xfId="20" xr:uid="{2555318E-87CA-4673-B11F-9178930A38A3}"/>
    <cellStyle name="Currency 2 2 2" xfId="15" xr:uid="{5534BB99-50F4-496A-BB5A-EF0BF11E93CA}"/>
    <cellStyle name="Currency 2 2 2 2" xfId="24" xr:uid="{D21863D3-348F-411B-A8BD-0483B6AABA19}"/>
    <cellStyle name="Currency 2 2 2 2 2" xfId="44" xr:uid="{A0932A3A-26C7-451A-9F00-0D048DC38290}"/>
    <cellStyle name="Currency 2 2 2 2 2 2" xfId="80" xr:uid="{3894A688-7A02-4AB2-B843-558A7B228DFF}"/>
    <cellStyle name="Currency 2 2 2 2 3" xfId="62" xr:uid="{BBA5AB6F-9AFE-40EE-A168-9D86AEEB4076}"/>
    <cellStyle name="Currency 2 2 2 3" xfId="35" xr:uid="{E68A04B5-767D-4489-AC4A-C8E305B50901}"/>
    <cellStyle name="Currency 2 2 2 3 2" xfId="71" xr:uid="{8B5EA626-D363-46CF-A645-95C104680133}"/>
    <cellStyle name="Currency 2 2 2 4" xfId="53" xr:uid="{6403854D-79CF-411E-BBFF-5EEB1D1289FF}"/>
    <cellStyle name="Currency 2 2 3" xfId="40" xr:uid="{F61FE4CB-142B-40C6-8B4D-982FBBC817D1}"/>
    <cellStyle name="Currency 2 2 3 2" xfId="76" xr:uid="{B758BFC3-AB06-4AA2-8D53-DE595DFBE786}"/>
    <cellStyle name="Currency 2 2 4" xfId="58" xr:uid="{76B9B50E-D0A3-4AFF-8BE2-ADB0AF2D7214}"/>
    <cellStyle name="Currency 2 3" xfId="31" xr:uid="{29455802-35D9-4771-8D58-9ADD44BA1AF3}"/>
    <cellStyle name="Currency 2 3 2" xfId="67" xr:uid="{6A7F04F6-CC54-4FEB-A3A1-FB6DF455D8AF}"/>
    <cellStyle name="Currency 2 4" xfId="49" xr:uid="{D52338AA-A6DA-4241-B0A8-A5B770F35E35}"/>
    <cellStyle name="Currency 3 2 2" xfId="12" xr:uid="{979BE139-ACD8-4540-A4B6-4430107F4FBE}"/>
    <cellStyle name="Currency 3 2 2 2" xfId="21" xr:uid="{B89CA705-2A82-450B-9BF7-8A9A995283BE}"/>
    <cellStyle name="Currency 3 2 2 2 2" xfId="41" xr:uid="{FC7104C6-36D2-4822-BDC8-ACDA01E5CF28}"/>
    <cellStyle name="Currency 3 2 2 2 2 2" xfId="77" xr:uid="{8E8B8838-4348-4BD8-A7C7-E98CE7C20E96}"/>
    <cellStyle name="Currency 3 2 2 2 3" xfId="59" xr:uid="{CCA5F047-23E3-49E0-9507-6F12794D54D5}"/>
    <cellStyle name="Currency 3 2 2 3" xfId="32" xr:uid="{58FAC8C2-0A26-4DF6-8721-BC5C24540519}"/>
    <cellStyle name="Currency 3 2 2 3 2" xfId="68" xr:uid="{764F1477-E0B0-4B08-A964-1D2F0E4494EE}"/>
    <cellStyle name="Currency 3 2 2 4" xfId="50" xr:uid="{E7DE7701-31E0-402F-A725-05B411C8047E}"/>
    <cellStyle name="Currency 4" xfId="3" xr:uid="{348DABEE-3A53-4F0E-BD53-44741F3F695E}"/>
    <cellStyle name="Currency 4 2" xfId="17" xr:uid="{5885A416-B10B-4493-B96B-5D09D9A7CF2E}"/>
    <cellStyle name="Currency 4 2 2" xfId="37" xr:uid="{122D4F5A-9A70-4176-994F-B803A6B173BE}"/>
    <cellStyle name="Currency 4 2 2 2" xfId="73" xr:uid="{9E0DBCE9-ED1B-4B97-9B11-8FE590385C08}"/>
    <cellStyle name="Currency 4 2 3" xfId="55" xr:uid="{E7F49A77-99BF-4BE7-A0EB-74A1AD6053EA}"/>
    <cellStyle name="Currency 4 3" xfId="8" xr:uid="{AE308981-01E3-4AEC-9D32-C988E174DC98}"/>
    <cellStyle name="Currency 4 3 2" xfId="19" xr:uid="{8D65E540-A0C2-41A2-8327-592A13707F84}"/>
    <cellStyle name="Currency 4 3 2 2" xfId="39" xr:uid="{A77DE8C4-C384-4D4A-80CA-7042FBA04DB3}"/>
    <cellStyle name="Currency 4 3 2 2 2" xfId="75" xr:uid="{33B33A6E-FF55-41AD-A9B8-1FD90DE4DEFB}"/>
    <cellStyle name="Currency 4 3 2 3" xfId="57" xr:uid="{2260E1C7-8BAA-4B43-86B0-456A0FD82E61}"/>
    <cellStyle name="Currency 4 3 3" xfId="30" xr:uid="{6F368443-F5F0-4EE4-AB1A-7065C0EF9F80}"/>
    <cellStyle name="Currency 4 3 3 2" xfId="66" xr:uid="{B957ED38-07CB-49BC-90D5-7E9B5E594BA6}"/>
    <cellStyle name="Currency 4 3 4" xfId="48" xr:uid="{FEFAFA1D-8AB3-48FF-BAA8-48B0F2FFCC16}"/>
    <cellStyle name="Currency 4 4" xfId="28" xr:uid="{1281699E-BFF1-4FD4-927F-2CA4266F862B}"/>
    <cellStyle name="Currency 4 4 2" xfId="64" xr:uid="{449EF255-F522-4EE3-B9A0-2B733D3BE853}"/>
    <cellStyle name="Currency 4 5" xfId="46" xr:uid="{959A34C9-3B1A-44CE-9AD0-B72DB34AD044}"/>
    <cellStyle name="Normal" xfId="0" builtinId="0"/>
    <cellStyle name="Normal 12" xfId="2" xr:uid="{D1E8A6C0-06D9-4EEA-8DC9-8B6BB1C66B1D}"/>
    <cellStyle name="Normal 12 9" xfId="4" xr:uid="{E1312BB4-731D-4463-ADE5-58E193FBF96A}"/>
    <cellStyle name="Normal 138" xfId="7" xr:uid="{364454C8-DB5C-471D-A8F8-A9669DE82CB5}"/>
    <cellStyle name="Normal 2" xfId="25" xr:uid="{3954C9D9-A7B1-42A4-A0D9-CE8362566B72}"/>
    <cellStyle name="Normal 2 3" xfId="26" xr:uid="{724A0CB6-0974-4572-8C85-D4EB505B71D7}"/>
    <cellStyle name="Normal 3" xfId="81" xr:uid="{C5C74803-C09C-4DA0-9A80-0DC0ECB7F583}"/>
    <cellStyle name="Normal 3 2" xfId="84" xr:uid="{0EBB7D2B-17C4-4403-B678-55EAD169C37E}"/>
    <cellStyle name="Normal 3 2 2" xfId="82" xr:uid="{0E7C7227-EB5E-4602-AD5C-025BA70C59BD}"/>
    <cellStyle name="Normal 4" xfId="85" xr:uid="{7A543473-1C47-4810-A628-8702EC54A4EA}"/>
    <cellStyle name="Normal 89" xfId="5" xr:uid="{2FE4A145-6A14-4CDF-98A4-E48D1A40B095}"/>
    <cellStyle name="Percent" xfId="11" builtinId="5"/>
    <cellStyle name="Percent 4" xfId="9" xr:uid="{B6AA54C1-3426-4934-9B78-B48188C40719}"/>
  </cellStyles>
  <dxfs count="0"/>
  <tableStyles count="0" defaultTableStyle="TableStyleMedium2" defaultPivotStyle="PivotStyleLight16"/>
  <colors>
    <mruColors>
      <color rgb="FF00FFFF"/>
      <color rgb="FF0000CC"/>
      <color rgb="FFF3D8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13</xdr:col>
      <xdr:colOff>358140</xdr:colOff>
      <xdr:row>81</xdr:row>
      <xdr:rowOff>68580</xdr:rowOff>
    </xdr:from>
    <xdr:to>
      <xdr:col>16</xdr:col>
      <xdr:colOff>464820</xdr:colOff>
      <xdr:row>82</xdr:row>
      <xdr:rowOff>45720</xdr:rowOff>
    </xdr:to>
    <xdr:sp macro="" textlink="">
      <xdr:nvSpPr>
        <xdr:cNvPr id="2" name="Right Brace 1">
          <a:extLst>
            <a:ext uri="{FF2B5EF4-FFF2-40B4-BE49-F238E27FC236}">
              <a16:creationId xmlns:a16="http://schemas.microsoft.com/office/drawing/2014/main" id="{945A1038-0D14-429D-B87B-B32FB5FD1A3F}"/>
            </a:ext>
          </a:extLst>
        </xdr:cNvPr>
        <xdr:cNvSpPr/>
      </xdr:nvSpPr>
      <xdr:spPr>
        <a:xfrm rot="5400000">
          <a:off x="9170670" y="13994130"/>
          <a:ext cx="160020" cy="1935480"/>
        </a:xfrm>
        <a:prstGeom prst="rightBrace">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b="1"/>
        </a:p>
      </xdr:txBody>
    </xdr:sp>
    <xdr:clientData/>
  </xdr:twoCellAnchor>
  <xdr:twoCellAnchor>
    <xdr:from>
      <xdr:col>5</xdr:col>
      <xdr:colOff>312420</xdr:colOff>
      <xdr:row>78</xdr:row>
      <xdr:rowOff>38100</xdr:rowOff>
    </xdr:from>
    <xdr:to>
      <xdr:col>5</xdr:col>
      <xdr:colOff>320040</xdr:colOff>
      <xdr:row>79</xdr:row>
      <xdr:rowOff>160020</xdr:rowOff>
    </xdr:to>
    <xdr:cxnSp macro="">
      <xdr:nvCxnSpPr>
        <xdr:cNvPr id="3" name="Straight Arrow Connector 2">
          <a:extLst>
            <a:ext uri="{FF2B5EF4-FFF2-40B4-BE49-F238E27FC236}">
              <a16:creationId xmlns:a16="http://schemas.microsoft.com/office/drawing/2014/main" id="{DA8160B5-E5A6-4DAB-BD60-9DF1F32002AE}"/>
            </a:ext>
          </a:extLst>
        </xdr:cNvPr>
        <xdr:cNvCxnSpPr/>
      </xdr:nvCxnSpPr>
      <xdr:spPr>
        <a:xfrm flipV="1">
          <a:off x="3360420" y="14302740"/>
          <a:ext cx="7620" cy="304800"/>
        </a:xfrm>
        <a:prstGeom prst="straightConnector1">
          <a:avLst/>
        </a:prstGeom>
        <a:ln w="12700">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ouldenhousecoop-my.sharepoint.com/personal/muhamad_gouldenhouse_org/Documents/01%20ACCOUNTS/04%20FIXED%20ASSETS/FIXED%20ASSET%20REGISTE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ouldenhousecoop-my.sharepoint.com/personal/muhamad_gouldenhouse_org/Documents/01%20ACCOUNTS/05%20REPORTINGS/01%20MANAGEMENT%20REPORTS/MONTHLY%20REPORTS/2023/GOU001%20-%2001%20MANAGMENT%20REPORT%20APRIL%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24"/>
      <sheetName val="2023"/>
      <sheetName val="2022"/>
      <sheetName val="2021"/>
      <sheetName val="2020"/>
      <sheetName val="2019"/>
      <sheetName val="2018"/>
    </sheetNames>
    <sheetDataSet>
      <sheetData sheetId="0"/>
      <sheetData sheetId="1"/>
      <sheetData sheetId="2"/>
      <sheetData sheetId="3"/>
      <sheetData sheetId="4">
        <row r="6">
          <cell r="A6" t="str">
            <v xml:space="preserve">Office Furniture &amp; Equipment  </v>
          </cell>
        </row>
        <row r="14">
          <cell r="B14" t="str">
            <v>Lexmark MC 2535 Adwe</v>
          </cell>
          <cell r="E14">
            <v>423.03</v>
          </cell>
          <cell r="AD14">
            <v>43745</v>
          </cell>
          <cell r="AF14">
            <v>45205</v>
          </cell>
          <cell r="AH14">
            <v>8.8131249999999994</v>
          </cell>
        </row>
        <row r="33">
          <cell r="B33" t="str">
            <v xml:space="preserve">Lenovo laptop V15 -IWL </v>
          </cell>
          <cell r="E33">
            <v>442.48</v>
          </cell>
          <cell r="AD33">
            <v>43888</v>
          </cell>
          <cell r="AF33">
            <v>45349</v>
          </cell>
          <cell r="AH33">
            <v>9.2183333333333337</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OLE"/>
      <sheetName val="Balance sheet"/>
      <sheetName val="LHA"/>
      <sheetName val="TENANTS"/>
      <sheetName val="APR22"/>
      <sheetName val="MAR23"/>
      <sheetName val="FEB23"/>
      <sheetName val="JAN23"/>
      <sheetName val="DEC22"/>
      <sheetName val="NOV22"/>
      <sheetName val="OCT22"/>
      <sheetName val="SEPT22"/>
      <sheetName val="AUG22"/>
      <sheetName val="JUL22"/>
      <sheetName val="JUN22"/>
      <sheetName val="MAY22"/>
      <sheetName val="TB22"/>
      <sheetName val="TB21"/>
      <sheetName val="Chart"/>
      <sheetName val="SC Calc 202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30">
          <cell r="D30">
            <v>93357.479999999981</v>
          </cell>
        </row>
        <row r="31">
          <cell r="D31">
            <v>11464.4</v>
          </cell>
        </row>
        <row r="32">
          <cell r="D32">
            <v>1875.24</v>
          </cell>
        </row>
        <row r="33">
          <cell r="D33">
            <v>148690.30000000002</v>
          </cell>
        </row>
      </sheetData>
      <sheetData sheetId="17"/>
      <sheetData sheetId="18"/>
      <sheetData sheetId="19"/>
    </sheetDataSet>
  </externalBook>
</externalLink>
</file>

<file path=xl/persons/person.xml><?xml version="1.0" encoding="utf-8"?>
<personList xmlns="http://schemas.microsoft.com/office/spreadsheetml/2018/threadedcomments" xmlns:x="http://schemas.openxmlformats.org/spreadsheetml/2006/main">
  <person displayName="Muhamad  Thowfeek" id="{90F826BD-831B-40A8-9B16-3985BA5EBE8E}" userId="S::Muhamad@gouldenhouse.org::757fabe4-895a-437f-8c78-9d41c036152a" providerId="AD"/>
  <person displayName="Andrew Simmons" id="{6F779828-D6FE-4FE7-9D12-61EBD6F0E3C5}" userId="S::Andrew.Simmons@knoxcropper.com::6e5de75c-6388-4eda-927c-62b171847370"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R11" dT="2023-02-10T12:59:38.16" personId="{90F826BD-831B-40A8-9B16-3985BA5EBE8E}" id="{8C4E8C7A-F905-4EC9-A566-7AA485F84AC0}">
    <text>Barney hours
Monday 7 to 3 pm
Wed 7 to 3 pm
Sat 7 to 3</text>
  </threadedComment>
</ThreadedComments>
</file>

<file path=xl/threadedComments/threadedComment2.xml><?xml version="1.0" encoding="utf-8"?>
<ThreadedComments xmlns="http://schemas.microsoft.com/office/spreadsheetml/2018/threadedcomments" xmlns:x="http://schemas.openxmlformats.org/spreadsheetml/2006/main">
  <threadedComment ref="K25" dT="2021-08-17T15:48:29.09" personId="{6F779828-D6FE-4FE7-9D12-61EBD6F0E3C5}" id="{DEE50EBF-A526-476E-A086-10E8CF27BC77}">
    <text>Represents cost of keys sold - separate income recorded, not a service chargeable item</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9.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 Id="rId4" Type="http://schemas.microsoft.com/office/2017/10/relationships/threadedComment" Target="../threadedComments/threadedComment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25F77-84A6-408E-9491-545BDDC77437}">
  <sheetPr>
    <tabColor rgb="FF7030A0"/>
  </sheetPr>
  <dimension ref="A1:R56"/>
  <sheetViews>
    <sheetView tabSelected="1" view="pageBreakPreview" zoomScale="110" zoomScaleNormal="100" zoomScaleSheetLayoutView="100" workbookViewId="0">
      <pane xSplit="5" ySplit="4" topLeftCell="F5" activePane="bottomRight" state="frozen"/>
      <selection pane="topRight" activeCell="F1" sqref="F1"/>
      <selection pane="bottomLeft" activeCell="A5" sqref="A5"/>
      <selection pane="bottomRight" activeCell="D19" sqref="D19"/>
    </sheetView>
  </sheetViews>
  <sheetFormatPr defaultColWidth="8.88671875" defaultRowHeight="13.95" customHeight="1" outlineLevelRow="1" x14ac:dyDescent="0.3"/>
  <cols>
    <col min="1" max="1" width="54.5546875" style="42" bestFit="1" customWidth="1"/>
    <col min="2" max="2" width="10.44140625" style="52" customWidth="1"/>
    <col min="3" max="4" width="8.44140625" style="52" bestFit="1" customWidth="1"/>
    <col min="5" max="7" width="8.44140625" style="362" bestFit="1" customWidth="1"/>
    <col min="8" max="8" width="9.109375" style="362" bestFit="1" customWidth="1"/>
    <col min="9" max="9" width="8.44140625" style="381" bestFit="1" customWidth="1"/>
    <col min="10" max="16" width="12.77734375" style="1" customWidth="1"/>
    <col min="17" max="17" width="9.77734375" style="2" bestFit="1" customWidth="1"/>
    <col min="18" max="18" width="10" style="2" bestFit="1" customWidth="1"/>
    <col min="19" max="16384" width="8.88671875" style="2"/>
  </cols>
  <sheetData>
    <row r="1" spans="1:18" s="159" customFormat="1" ht="13.95" customHeight="1" x14ac:dyDescent="0.3">
      <c r="A1" s="369" t="s">
        <v>0</v>
      </c>
      <c r="B1" s="370"/>
      <c r="C1" s="370"/>
      <c r="D1" s="370"/>
      <c r="E1" s="374"/>
      <c r="F1" s="374"/>
      <c r="G1" s="374"/>
      <c r="H1" s="374"/>
      <c r="I1" s="174"/>
      <c r="J1" s="371"/>
      <c r="K1" s="371"/>
      <c r="L1" s="371"/>
      <c r="M1" s="371"/>
      <c r="N1" s="371"/>
      <c r="O1" s="371"/>
      <c r="P1" s="371"/>
    </row>
    <row r="2" spans="1:18" s="159" customFormat="1" ht="13.95" customHeight="1" x14ac:dyDescent="0.3">
      <c r="A2" s="372" t="s">
        <v>675</v>
      </c>
      <c r="B2" s="370"/>
      <c r="C2" s="370"/>
      <c r="D2" s="370"/>
      <c r="E2" s="374"/>
      <c r="F2" s="374"/>
      <c r="G2" s="374"/>
      <c r="H2" s="374"/>
      <c r="I2" s="174"/>
      <c r="J2" s="371"/>
      <c r="K2" s="371"/>
      <c r="L2" s="371"/>
      <c r="M2" s="371"/>
      <c r="N2" s="371"/>
      <c r="O2" s="371"/>
      <c r="P2" s="371"/>
    </row>
    <row r="3" spans="1:18" s="159" customFormat="1" ht="13.95" customHeight="1" x14ac:dyDescent="0.3">
      <c r="A3" s="369" t="s">
        <v>241</v>
      </c>
      <c r="B3" s="370"/>
      <c r="C3" s="370"/>
      <c r="D3" s="370"/>
      <c r="E3" s="374"/>
      <c r="F3" s="374"/>
      <c r="G3" s="374"/>
      <c r="H3" s="374"/>
      <c r="I3" s="174"/>
      <c r="J3" s="371"/>
      <c r="K3" s="371"/>
      <c r="L3" s="371"/>
      <c r="M3" s="371"/>
      <c r="N3" s="371"/>
      <c r="O3" s="371"/>
      <c r="P3" s="371"/>
    </row>
    <row r="4" spans="1:18" s="163" customFormat="1" ht="27.6" x14ac:dyDescent="0.3">
      <c r="A4" s="160" t="s">
        <v>644</v>
      </c>
      <c r="B4" s="161" t="s">
        <v>688</v>
      </c>
      <c r="C4" s="161" t="s">
        <v>689</v>
      </c>
      <c r="D4" s="161" t="s">
        <v>690</v>
      </c>
      <c r="E4" s="375" t="s">
        <v>685</v>
      </c>
      <c r="F4" s="375" t="s">
        <v>686</v>
      </c>
      <c r="G4" s="375" t="s">
        <v>687</v>
      </c>
      <c r="H4" s="375" t="s">
        <v>652</v>
      </c>
      <c r="I4" s="379" t="s">
        <v>117</v>
      </c>
      <c r="J4" s="162"/>
      <c r="K4" s="162"/>
      <c r="L4" s="162"/>
      <c r="M4" s="162"/>
      <c r="N4" s="162"/>
      <c r="O4" s="162"/>
      <c r="P4" s="162"/>
    </row>
    <row r="5" spans="1:18" ht="13.95" customHeight="1" x14ac:dyDescent="0.3">
      <c r="A5" s="44" t="s">
        <v>118</v>
      </c>
      <c r="B5" s="53">
        <f>LHA!D9</f>
        <v>194361.19</v>
      </c>
      <c r="C5" s="53">
        <f>LHA!E9</f>
        <v>192608.06434564947</v>
      </c>
      <c r="D5" s="53">
        <f>LHA!F9</f>
        <v>230247.32246999512</v>
      </c>
      <c r="E5" s="376">
        <f>LHA!G9</f>
        <v>194361</v>
      </c>
      <c r="F5" s="376">
        <f>LHA!H9</f>
        <v>221806.27503839583</v>
      </c>
      <c r="G5" s="376">
        <f>LHA!I9</f>
        <v>232587.61948902821</v>
      </c>
      <c r="H5" s="361">
        <f>IFERROR((G5-F5),"")</f>
        <v>10781.344450632372</v>
      </c>
      <c r="I5" s="32">
        <f>IF(G5&lt;&gt;0,IFERROR((G5-F5)/F5,1),IFERROR((G5-F5)/F5,0))</f>
        <v>4.8607030837004336E-2</v>
      </c>
      <c r="J5" s="30"/>
      <c r="K5" s="30"/>
      <c r="L5" s="30"/>
      <c r="M5" s="30"/>
      <c r="N5" s="30"/>
      <c r="O5" s="30"/>
      <c r="P5" s="30"/>
    </row>
    <row r="6" spans="1:18" ht="13.95" customHeight="1" x14ac:dyDescent="0.3">
      <c r="A6" s="44" t="s">
        <v>77</v>
      </c>
      <c r="B6" s="53">
        <f>TENANTS!D13</f>
        <v>57025.329999999994</v>
      </c>
      <c r="C6" s="53">
        <f>TENANTS!E13</f>
        <v>62775.426050141643</v>
      </c>
      <c r="D6" s="53">
        <f>TENANTS!F13</f>
        <v>71096.452445585528</v>
      </c>
      <c r="E6" s="376">
        <f>TENANTS!G13</f>
        <v>55924.234300000004</v>
      </c>
      <c r="F6" s="376">
        <f>TENANTS!H13</f>
        <v>41039.046482874997</v>
      </c>
      <c r="G6" s="376">
        <f>TENANTS!I13</f>
        <v>69474.224003216223</v>
      </c>
      <c r="H6" s="361">
        <f>IFERROR((G6-F6),"")</f>
        <v>28435.177520341225</v>
      </c>
      <c r="I6" s="32">
        <f>IF(G6&lt;&gt;0,IFERROR((G6-F6)/F6,1),IFERROR((G6-F6)/F6,0))</f>
        <v>0.69288104761904779</v>
      </c>
      <c r="J6" s="30"/>
      <c r="K6" s="30"/>
      <c r="L6" s="30"/>
      <c r="M6" s="30"/>
      <c r="N6" s="30"/>
      <c r="O6" s="30"/>
      <c r="P6" s="30"/>
    </row>
    <row r="7" spans="1:18" s="159" customFormat="1" ht="13.95" customHeight="1" thickBot="1" x14ac:dyDescent="0.35">
      <c r="A7" s="179" t="s">
        <v>78</v>
      </c>
      <c r="B7" s="377">
        <f>SUM(B5:B6)</f>
        <v>251386.52</v>
      </c>
      <c r="C7" s="377">
        <f>SUM(C5:C6)</f>
        <v>255383.49039579113</v>
      </c>
      <c r="D7" s="377">
        <f>SUM(D5:D6)</f>
        <v>301343.77491558064</v>
      </c>
      <c r="E7" s="378">
        <f t="shared" ref="E7:F7" si="0">SUM(E5:E6)</f>
        <v>250285.23430000001</v>
      </c>
      <c r="F7" s="378">
        <f t="shared" si="0"/>
        <v>262845.32152127085</v>
      </c>
      <c r="G7" s="378">
        <f>SUM(G5:G6)</f>
        <v>302061.84349224443</v>
      </c>
      <c r="H7" s="378">
        <f>IFERROR((G7-F7),"")</f>
        <v>39216.521970973583</v>
      </c>
      <c r="I7" s="380">
        <f>IF(G7&lt;&gt;0,IFERROR((G7-F7)/F7,1),IFERROR((G7-F7)/F7,0))</f>
        <v>0.14919999999999989</v>
      </c>
      <c r="J7" s="180"/>
      <c r="K7" s="180"/>
      <c r="L7" s="180"/>
      <c r="M7" s="180"/>
      <c r="N7" s="180"/>
      <c r="O7" s="180"/>
      <c r="P7" s="180"/>
      <c r="Q7" s="140">
        <f>E7/4</f>
        <v>62571.308575000003</v>
      </c>
    </row>
    <row r="8" spans="1:18" ht="13.95" customHeight="1" x14ac:dyDescent="0.3">
      <c r="A8" s="44"/>
      <c r="B8" s="53"/>
      <c r="C8" s="53"/>
      <c r="D8" s="53"/>
      <c r="E8" s="376"/>
      <c r="F8" s="376"/>
      <c r="G8" s="376"/>
      <c r="H8" s="361"/>
      <c r="I8" s="4"/>
      <c r="J8" s="4"/>
      <c r="K8" s="4"/>
      <c r="L8" s="4"/>
      <c r="M8" s="4"/>
      <c r="N8" s="4"/>
      <c r="O8" s="4"/>
      <c r="P8" s="4"/>
    </row>
    <row r="9" spans="1:18" ht="13.95" customHeight="1" x14ac:dyDescent="0.3">
      <c r="A9" s="44" t="s">
        <v>29</v>
      </c>
      <c r="B9" s="53">
        <f>B26</f>
        <v>65770.640000000014</v>
      </c>
      <c r="C9" s="53">
        <f t="shared" ref="C9:D9" si="1">C26</f>
        <v>84477.599999999991</v>
      </c>
      <c r="D9" s="53">
        <f t="shared" si="1"/>
        <v>91846.681999999986</v>
      </c>
      <c r="E9" s="376">
        <f t="shared" ref="E9" si="2">E26</f>
        <v>82700</v>
      </c>
      <c r="F9" s="376">
        <f>F26</f>
        <v>128963.51</v>
      </c>
      <c r="G9" s="376">
        <f>G26</f>
        <v>104304.3655</v>
      </c>
      <c r="H9" s="361">
        <f>IFERROR((G9-F9),"")</f>
        <v>-24659.144499999995</v>
      </c>
      <c r="I9" s="32">
        <f>IF(G9&lt;&gt;0,IFERROR((G9-F9)/F9,1),IFERROR((G9-F9)/F9,0))</f>
        <v>-0.19121024621615831</v>
      </c>
      <c r="J9" s="4"/>
      <c r="K9" s="4"/>
      <c r="L9" s="4"/>
      <c r="M9" s="4"/>
      <c r="N9" s="4"/>
      <c r="O9" s="4"/>
      <c r="P9" s="4"/>
    </row>
    <row r="10" spans="1:18" ht="13.95" customHeight="1" x14ac:dyDescent="0.3">
      <c r="A10" s="234" t="s">
        <v>40</v>
      </c>
      <c r="B10" s="53">
        <f>LHA!D50</f>
        <v>114139.63000000002</v>
      </c>
      <c r="C10" s="53">
        <f>LHA!E50</f>
        <v>112059.66</v>
      </c>
      <c r="D10" s="53">
        <f>LHA!F50</f>
        <v>123678.22800000002</v>
      </c>
      <c r="E10" s="376">
        <f>LHA!G50</f>
        <v>117981.27</v>
      </c>
      <c r="F10" s="376">
        <f>LHA!H50</f>
        <v>128692.5037</v>
      </c>
      <c r="G10" s="376">
        <f>LHA!I50</f>
        <v>131536.11937750003</v>
      </c>
      <c r="H10" s="361">
        <f t="shared" ref="H10:H15" si="3">IFERROR((G10-F10),"")</f>
        <v>2843.6156775000272</v>
      </c>
      <c r="I10" s="32">
        <f>IF(G10&lt;&gt;0,IFERROR((G10-F10)/F10,1),IFERROR((G10-F10)/F10,0))</f>
        <v>2.2096202931360231E-2</v>
      </c>
      <c r="J10" s="4"/>
      <c r="K10" s="4"/>
      <c r="L10" s="4"/>
      <c r="M10" s="4"/>
      <c r="N10" s="4"/>
      <c r="O10" s="4"/>
      <c r="P10" s="4"/>
    </row>
    <row r="11" spans="1:18" ht="13.95" customHeight="1" outlineLevel="1" x14ac:dyDescent="0.3">
      <c r="A11" s="233" t="s">
        <v>41</v>
      </c>
      <c r="B11" s="53">
        <f>LHA!D51</f>
        <v>13439.561100000003</v>
      </c>
      <c r="C11" s="53">
        <f>LHA!E51</f>
        <v>12784.724399999999</v>
      </c>
      <c r="D11" s="53">
        <f>LHA!F51</f>
        <v>14021.693280000001</v>
      </c>
      <c r="E11" s="376">
        <f>LHA!G51</f>
        <v>14522.405099999998</v>
      </c>
      <c r="F11" s="376">
        <f>LHA!H51</f>
        <v>16275.545097</v>
      </c>
      <c r="G11" s="376">
        <f>LHA!I51</f>
        <v>17478.745069275006</v>
      </c>
      <c r="H11" s="361">
        <f t="shared" si="3"/>
        <v>1203.1999722750061</v>
      </c>
      <c r="I11" s="32">
        <f t="shared" ref="I11:I16" si="4">IF(G11&lt;&gt;0,IFERROR((G11-F11)/F11,1),IFERROR((G11-F11)/F11,0))</f>
        <v>7.3926861748967579E-2</v>
      </c>
      <c r="J11" s="4"/>
      <c r="K11" s="4"/>
      <c r="L11" s="4"/>
      <c r="M11" s="4"/>
      <c r="N11" s="4"/>
      <c r="O11" s="4"/>
      <c r="P11" s="4"/>
    </row>
    <row r="12" spans="1:18" ht="13.95" customHeight="1" outlineLevel="1" x14ac:dyDescent="0.3">
      <c r="A12" s="233" t="s">
        <v>42</v>
      </c>
      <c r="B12" s="53">
        <f>B10-B11</f>
        <v>100700.06890000001</v>
      </c>
      <c r="C12" s="53">
        <f t="shared" ref="C12:D12" si="5">C10-C11</f>
        <v>99274.935599999997</v>
      </c>
      <c r="D12" s="53">
        <f t="shared" si="5"/>
        <v>109656.53472000001</v>
      </c>
      <c r="E12" s="376">
        <f>E10-E11</f>
        <v>103458.8649</v>
      </c>
      <c r="F12" s="376">
        <f>F10-F11</f>
        <v>112416.95860300001</v>
      </c>
      <c r="G12" s="376">
        <f>G10-G11</f>
        <v>114057.37430822503</v>
      </c>
      <c r="H12" s="361">
        <f t="shared" si="3"/>
        <v>1640.415705225023</v>
      </c>
      <c r="I12" s="32">
        <f t="shared" si="4"/>
        <v>1.4592244138343431E-2</v>
      </c>
      <c r="J12" s="4"/>
      <c r="K12" s="4"/>
      <c r="L12" s="4"/>
      <c r="M12" s="4"/>
      <c r="N12" s="4"/>
      <c r="O12" s="4"/>
      <c r="P12" s="4"/>
    </row>
    <row r="13" spans="1:18" ht="13.95" customHeight="1" x14ac:dyDescent="0.3">
      <c r="A13" s="44" t="s">
        <v>68</v>
      </c>
      <c r="B13" s="53">
        <f>B28</f>
        <v>20255.100000000002</v>
      </c>
      <c r="C13" s="53">
        <f t="shared" ref="C13" si="6">C28</f>
        <v>32653.059999999998</v>
      </c>
      <c r="D13" s="53">
        <f>D28</f>
        <v>30427.463999999996</v>
      </c>
      <c r="E13" s="376">
        <f t="shared" ref="E13:F13" si="7">E28</f>
        <v>36723</v>
      </c>
      <c r="F13" s="376">
        <f t="shared" si="7"/>
        <v>34913.208500000001</v>
      </c>
      <c r="G13" s="376">
        <f t="shared" ref="G13" si="8">G28</f>
        <v>42579.592136666673</v>
      </c>
      <c r="H13" s="361">
        <f t="shared" si="3"/>
        <v>7666.3836366666728</v>
      </c>
      <c r="I13" s="32">
        <f t="shared" si="4"/>
        <v>0.21958404758665112</v>
      </c>
      <c r="J13" s="4"/>
      <c r="K13" s="4"/>
      <c r="L13" s="4"/>
      <c r="M13" s="4"/>
      <c r="N13" s="4"/>
      <c r="O13" s="4"/>
      <c r="P13" s="4"/>
    </row>
    <row r="14" spans="1:18" ht="13.95" customHeight="1" x14ac:dyDescent="0.3">
      <c r="A14" s="44" t="s">
        <v>90</v>
      </c>
      <c r="B14" s="53">
        <f>TENANTS!D19</f>
        <v>14581.849999999999</v>
      </c>
      <c r="C14" s="53">
        <f>TENANTS!E19</f>
        <v>24552.57</v>
      </c>
      <c r="D14" s="53">
        <f>TENANTS!F19</f>
        <v>56839.763999999996</v>
      </c>
      <c r="E14" s="376">
        <f>TENANTS!G19</f>
        <v>26500</v>
      </c>
      <c r="F14" s="376">
        <f>TENANTS!H19</f>
        <v>28980.5</v>
      </c>
      <c r="G14" s="376">
        <f>TENANTS!I19</f>
        <v>41887.199999999997</v>
      </c>
      <c r="H14" s="361">
        <f t="shared" si="3"/>
        <v>12906.699999999997</v>
      </c>
      <c r="I14" s="32">
        <f t="shared" si="4"/>
        <v>0.44535808560928891</v>
      </c>
      <c r="J14" s="4"/>
      <c r="K14" s="4"/>
      <c r="L14" s="4"/>
      <c r="M14" s="4"/>
      <c r="N14" s="4"/>
      <c r="O14" s="4"/>
      <c r="P14" s="4"/>
    </row>
    <row r="15" spans="1:18" ht="13.95" customHeight="1" x14ac:dyDescent="0.3">
      <c r="A15" s="44" t="s">
        <v>83</v>
      </c>
      <c r="B15" s="53">
        <f>B9+B10+B13+B14</f>
        <v>214747.22000000003</v>
      </c>
      <c r="C15" s="53">
        <f t="shared" ref="C15:D15" si="9">C9+C10+C13+C14</f>
        <v>253742.89</v>
      </c>
      <c r="D15" s="53">
        <f t="shared" si="9"/>
        <v>302792.13800000004</v>
      </c>
      <c r="E15" s="376">
        <f>E9+E10+E13+E14</f>
        <v>263904.27</v>
      </c>
      <c r="F15" s="376">
        <f>F9+F10+F13+F14</f>
        <v>321549.72220000002</v>
      </c>
      <c r="G15" s="376">
        <f>G9+G10+G13+G14</f>
        <v>320307.27701416676</v>
      </c>
      <c r="H15" s="361">
        <f t="shared" si="3"/>
        <v>-1242.4451858332613</v>
      </c>
      <c r="I15" s="32">
        <f t="shared" si="4"/>
        <v>-3.8639286556760746E-3</v>
      </c>
      <c r="J15" s="4"/>
      <c r="K15" s="4"/>
      <c r="L15" s="4"/>
      <c r="M15" s="4"/>
      <c r="N15" s="4"/>
      <c r="O15" s="4"/>
      <c r="P15" s="4"/>
    </row>
    <row r="16" spans="1:18" s="159" customFormat="1" ht="13.95" customHeight="1" thickBot="1" x14ac:dyDescent="0.35">
      <c r="A16" s="156" t="s">
        <v>80</v>
      </c>
      <c r="B16" s="377">
        <f t="shared" ref="B16:D16" si="10">B7-B15</f>
        <v>36639.299999999959</v>
      </c>
      <c r="C16" s="377">
        <f t="shared" si="10"/>
        <v>1640.6003957911162</v>
      </c>
      <c r="D16" s="377">
        <f t="shared" si="10"/>
        <v>-1448.3630844193976</v>
      </c>
      <c r="E16" s="378">
        <f>E7-E15</f>
        <v>-13619.035700000008</v>
      </c>
      <c r="F16" s="378">
        <f>F7-F15</f>
        <v>-58704.400678729173</v>
      </c>
      <c r="G16" s="378">
        <f>G7-G15</f>
        <v>-18245.433521922329</v>
      </c>
      <c r="H16" s="378">
        <f>H7-H15</f>
        <v>40458.967156806844</v>
      </c>
      <c r="I16" s="380">
        <f t="shared" si="4"/>
        <v>-0.6891981979038696</v>
      </c>
      <c r="J16" s="157"/>
      <c r="K16" s="157"/>
      <c r="L16" s="157"/>
      <c r="M16" s="157"/>
      <c r="N16" s="157"/>
      <c r="O16" s="157"/>
      <c r="P16" s="157"/>
      <c r="Q16" s="158">
        <f>E16+21997.52</f>
        <v>8378.4842999999928</v>
      </c>
      <c r="R16" s="140">
        <f>E15/4</f>
        <v>65976.067500000005</v>
      </c>
    </row>
    <row r="17" spans="1:17" ht="13.95" customHeight="1" x14ac:dyDescent="0.3">
      <c r="A17" s="229"/>
      <c r="I17" s="4" t="str">
        <f>IFERROR((E17-#REF!)/#REF!,"")</f>
        <v/>
      </c>
      <c r="J17" s="4"/>
      <c r="K17" s="4"/>
      <c r="L17" s="4"/>
      <c r="M17" s="4"/>
      <c r="N17" s="4"/>
      <c r="O17" s="4"/>
      <c r="P17" s="4"/>
    </row>
    <row r="18" spans="1:17" ht="13.95" customHeight="1" x14ac:dyDescent="0.3">
      <c r="A18" s="229"/>
      <c r="I18" s="4" t="str">
        <f>IFERROR((E18-#REF!)/#REF!,"")</f>
        <v/>
      </c>
      <c r="J18" s="4"/>
      <c r="K18" s="4"/>
      <c r="L18" s="4"/>
      <c r="M18" s="4"/>
      <c r="N18" s="4"/>
      <c r="O18" s="4"/>
      <c r="P18" s="4"/>
    </row>
    <row r="19" spans="1:17" ht="13.95" customHeight="1" x14ac:dyDescent="0.3">
      <c r="A19" s="229"/>
      <c r="I19" s="4" t="str">
        <f>IFERROR((E19-#REF!)/#REF!,"")</f>
        <v/>
      </c>
      <c r="J19" s="4"/>
      <c r="K19" s="4"/>
      <c r="L19" s="4"/>
      <c r="M19" s="4"/>
      <c r="N19" s="4"/>
      <c r="O19" s="4"/>
      <c r="P19" s="4"/>
    </row>
    <row r="20" spans="1:17" ht="13.95" customHeight="1" x14ac:dyDescent="0.3">
      <c r="A20" s="230" t="str">
        <f>A2</f>
        <v>BUDGET SUMMARY FOR 2023-24</v>
      </c>
      <c r="I20" s="4" t="str">
        <f>IFERROR((E20-#REF!)/#REF!,"")</f>
        <v/>
      </c>
      <c r="J20" s="4"/>
      <c r="K20" s="4"/>
      <c r="L20" s="4"/>
      <c r="M20" s="4"/>
      <c r="N20" s="4"/>
      <c r="O20" s="4"/>
      <c r="P20" s="4"/>
    </row>
    <row r="21" spans="1:17" ht="13.95" customHeight="1" x14ac:dyDescent="0.3">
      <c r="A21" s="231" t="s">
        <v>242</v>
      </c>
      <c r="I21" s="4" t="str">
        <f>IFERROR((E21-#REF!)/#REF!,"")</f>
        <v/>
      </c>
      <c r="J21" s="4"/>
      <c r="K21" s="4"/>
      <c r="L21" s="4"/>
      <c r="M21" s="4"/>
      <c r="N21" s="4"/>
      <c r="O21" s="4"/>
      <c r="P21" s="4"/>
    </row>
    <row r="22" spans="1:17" s="159" customFormat="1" ht="27.6" x14ac:dyDescent="0.3">
      <c r="A22" s="232" t="s">
        <v>119</v>
      </c>
      <c r="B22" s="161" t="str">
        <f t="shared" ref="B22:G22" si="11">B4</f>
        <v>ACTUAL 2020-21</v>
      </c>
      <c r="C22" s="161" t="str">
        <f t="shared" si="11"/>
        <v>ACTUAL 2021-22</v>
      </c>
      <c r="D22" s="161" t="str">
        <f t="shared" si="11"/>
        <v>ACTUAL 2022-23</v>
      </c>
      <c r="E22" s="375" t="str">
        <f t="shared" si="11"/>
        <v>BUDGET 2021-22</v>
      </c>
      <c r="F22" s="375" t="str">
        <f t="shared" si="11"/>
        <v>BUDGET 2022-23</v>
      </c>
      <c r="G22" s="375" t="str">
        <f t="shared" si="11"/>
        <v>BUDGET 2023-24</v>
      </c>
      <c r="H22" s="375" t="str">
        <f>H4</f>
        <v xml:space="preserve">
VARIANCE</v>
      </c>
      <c r="I22" s="379" t="str">
        <f>I4</f>
        <v>% CHANGE</v>
      </c>
      <c r="J22" s="157"/>
      <c r="K22" s="157"/>
      <c r="L22" s="157"/>
      <c r="M22" s="157"/>
      <c r="N22" s="157"/>
      <c r="O22" s="157"/>
      <c r="P22" s="157"/>
    </row>
    <row r="23" spans="1:17" ht="13.95" customHeight="1" x14ac:dyDescent="0.3">
      <c r="A23" s="3" t="s">
        <v>76</v>
      </c>
      <c r="B23" s="53">
        <f>LHA!D9</f>
        <v>194361.19</v>
      </c>
      <c r="C23" s="53">
        <f>LHA!E9</f>
        <v>192608.06434564947</v>
      </c>
      <c r="D23" s="53">
        <f>LHA!F9</f>
        <v>230247.32246999512</v>
      </c>
      <c r="E23" s="376">
        <f>LHA!G9</f>
        <v>194361</v>
      </c>
      <c r="F23" s="376">
        <f>LHA!H9</f>
        <v>221806.27503839583</v>
      </c>
      <c r="G23" s="376">
        <f>LHA!I9</f>
        <v>232587.61948902821</v>
      </c>
      <c r="H23" s="361">
        <f t="shared" ref="H23:H30" si="12">IFERROR((G23-F23),"")</f>
        <v>10781.344450632372</v>
      </c>
      <c r="I23" s="32">
        <f t="shared" ref="I23:I31" si="13">IF(G23&lt;&gt;0,IFERROR((G23-F23)/F23,1),IFERROR((G23-F23)/F23,0))</f>
        <v>4.8607030837004336E-2</v>
      </c>
      <c r="J23" s="4"/>
      <c r="K23" s="4"/>
      <c r="L23" s="4"/>
      <c r="M23" s="4"/>
      <c r="N23" s="4"/>
      <c r="O23" s="4"/>
      <c r="P23" s="4"/>
    </row>
    <row r="24" spans="1:17" ht="13.95" customHeight="1" x14ac:dyDescent="0.3">
      <c r="A24" s="3" t="s">
        <v>85</v>
      </c>
      <c r="B24" s="53">
        <f>SUM(B23:B23)</f>
        <v>194361.19</v>
      </c>
      <c r="C24" s="53">
        <f t="shared" ref="C24:D24" si="14">SUM(C23:C23)</f>
        <v>192608.06434564947</v>
      </c>
      <c r="D24" s="53">
        <f t="shared" si="14"/>
        <v>230247.32246999512</v>
      </c>
      <c r="E24" s="376">
        <f>SUM(E23:E23)</f>
        <v>194361</v>
      </c>
      <c r="F24" s="376">
        <f>SUM(F23:F23)</f>
        <v>221806.27503839583</v>
      </c>
      <c r="G24" s="376">
        <f>SUM(G23:G23)</f>
        <v>232587.61948902821</v>
      </c>
      <c r="H24" s="361">
        <f t="shared" si="12"/>
        <v>10781.344450632372</v>
      </c>
      <c r="I24" s="32">
        <f t="shared" si="13"/>
        <v>4.8607030837004336E-2</v>
      </c>
      <c r="J24" s="4"/>
      <c r="K24" s="4"/>
      <c r="L24" s="4"/>
      <c r="M24" s="4"/>
      <c r="N24" s="4"/>
      <c r="O24" s="4"/>
      <c r="P24" s="4"/>
    </row>
    <row r="25" spans="1:17" ht="13.95" customHeight="1" x14ac:dyDescent="0.3">
      <c r="A25" s="3" t="s">
        <v>79</v>
      </c>
      <c r="B25" s="53"/>
      <c r="C25" s="53"/>
      <c r="D25" s="53"/>
      <c r="E25" s="376"/>
      <c r="F25" s="376"/>
      <c r="G25" s="376"/>
      <c r="H25" s="361"/>
      <c r="I25" s="32">
        <f t="shared" si="13"/>
        <v>0</v>
      </c>
      <c r="J25" s="4"/>
      <c r="K25" s="4"/>
      <c r="L25" s="4"/>
      <c r="M25" s="4"/>
      <c r="N25" s="4"/>
      <c r="O25" s="4"/>
      <c r="P25" s="4"/>
    </row>
    <row r="26" spans="1:17" ht="13.95" customHeight="1" x14ac:dyDescent="0.3">
      <c r="A26" s="233" t="s">
        <v>29</v>
      </c>
      <c r="B26" s="53">
        <f>LHA!D34</f>
        <v>65770.640000000014</v>
      </c>
      <c r="C26" s="53">
        <f>LHA!E34</f>
        <v>84477.599999999991</v>
      </c>
      <c r="D26" s="53">
        <f>LHA!F34</f>
        <v>91846.681999999986</v>
      </c>
      <c r="E26" s="376">
        <f>LHA!G34</f>
        <v>82700</v>
      </c>
      <c r="F26" s="376">
        <f>LHA!H34</f>
        <v>128963.51</v>
      </c>
      <c r="G26" s="376">
        <f>LHA!I34</f>
        <v>104304.3655</v>
      </c>
      <c r="H26" s="361">
        <f t="shared" si="12"/>
        <v>-24659.144499999995</v>
      </c>
      <c r="I26" s="32">
        <f t="shared" si="13"/>
        <v>-0.19121024621615831</v>
      </c>
      <c r="J26" s="4"/>
      <c r="K26" s="4"/>
      <c r="L26" s="4"/>
      <c r="M26" s="4"/>
      <c r="N26" s="4"/>
      <c r="O26" s="4"/>
      <c r="P26" s="4"/>
    </row>
    <row r="27" spans="1:17" ht="13.95" customHeight="1" x14ac:dyDescent="0.3">
      <c r="A27" s="233" t="s">
        <v>84</v>
      </c>
      <c r="B27" s="53">
        <f>LHA!D52</f>
        <v>-6301.9926690000002</v>
      </c>
      <c r="C27" s="53">
        <f>LHA!E52</f>
        <v>99274.935599999997</v>
      </c>
      <c r="D27" s="53">
        <f>LHA!F52</f>
        <v>109656.53472000001</v>
      </c>
      <c r="E27" s="376">
        <f>LHA!G52</f>
        <v>103458.8649</v>
      </c>
      <c r="F27" s="376">
        <f>LHA!H52</f>
        <v>112416.95860300001</v>
      </c>
      <c r="G27" s="376">
        <f>LHA!I52</f>
        <v>114057.37430822503</v>
      </c>
      <c r="H27" s="361">
        <f t="shared" si="12"/>
        <v>1640.415705225023</v>
      </c>
      <c r="I27" s="32">
        <f t="shared" si="13"/>
        <v>1.4592244138343431E-2</v>
      </c>
      <c r="J27" s="4"/>
      <c r="K27" s="4"/>
      <c r="L27" s="4"/>
      <c r="M27" s="4"/>
      <c r="N27" s="4"/>
      <c r="O27" s="4"/>
      <c r="P27" s="4"/>
    </row>
    <row r="28" spans="1:17" ht="13.95" customHeight="1" x14ac:dyDescent="0.3">
      <c r="A28" s="233" t="s">
        <v>68</v>
      </c>
      <c r="B28" s="53">
        <f>LHA!D87</f>
        <v>20255.100000000002</v>
      </c>
      <c r="C28" s="53">
        <f>LHA!E87</f>
        <v>32653.059999999998</v>
      </c>
      <c r="D28" s="53">
        <f>LHA!F87</f>
        <v>30427.463999999996</v>
      </c>
      <c r="E28" s="376">
        <f>LHA!G87</f>
        <v>36723</v>
      </c>
      <c r="F28" s="376">
        <f>LHA!H87</f>
        <v>34913.208500000001</v>
      </c>
      <c r="G28" s="376">
        <f>LHA!I87</f>
        <v>42579.592136666673</v>
      </c>
      <c r="H28" s="361">
        <f t="shared" si="12"/>
        <v>7666.3836366666728</v>
      </c>
      <c r="I28" s="32">
        <f t="shared" si="13"/>
        <v>0.21958404758665112</v>
      </c>
      <c r="J28" s="4"/>
      <c r="K28" s="4"/>
      <c r="L28" s="4"/>
      <c r="M28" s="4"/>
      <c r="N28" s="4"/>
      <c r="O28" s="4"/>
      <c r="P28" s="4"/>
    </row>
    <row r="29" spans="1:17" ht="13.95" customHeight="1" x14ac:dyDescent="0.3">
      <c r="A29" s="3" t="s">
        <v>86</v>
      </c>
      <c r="B29" s="53">
        <f>SUM(B26:B28)</f>
        <v>79723.74733100002</v>
      </c>
      <c r="C29" s="53">
        <f t="shared" ref="C29:D29" si="15">SUM(C26:C28)</f>
        <v>216405.5956</v>
      </c>
      <c r="D29" s="53">
        <f t="shared" si="15"/>
        <v>231930.68072</v>
      </c>
      <c r="E29" s="376">
        <f>SUM(E26:E28)</f>
        <v>222881.86489999999</v>
      </c>
      <c r="F29" s="376">
        <f>SUM(F26:F28)</f>
        <v>276293.67710299999</v>
      </c>
      <c r="G29" s="376">
        <f>SUM(G26:G28)</f>
        <v>260941.33194489169</v>
      </c>
      <c r="H29" s="361">
        <f t="shared" si="12"/>
        <v>-15352.345158108306</v>
      </c>
      <c r="I29" s="32">
        <f t="shared" si="13"/>
        <v>-5.5565314845714253E-2</v>
      </c>
      <c r="J29" s="4"/>
      <c r="K29" s="4"/>
      <c r="L29" s="4"/>
      <c r="M29" s="4"/>
      <c r="N29" s="4"/>
      <c r="O29" s="4"/>
      <c r="P29" s="4"/>
    </row>
    <row r="30" spans="1:17" ht="13.95" customHeight="1" x14ac:dyDescent="0.3">
      <c r="A30" s="3" t="s">
        <v>645</v>
      </c>
      <c r="B30" s="53">
        <f>B43</f>
        <v>12447.667289525687</v>
      </c>
      <c r="C30" s="53">
        <f t="shared" ref="C30:D30" si="16">C43</f>
        <v>35171.145649707978</v>
      </c>
      <c r="D30" s="53">
        <f t="shared" si="16"/>
        <v>40897.267249277538</v>
      </c>
      <c r="E30" s="376">
        <f>E43</f>
        <v>34799.6599761615</v>
      </c>
      <c r="F30" s="376">
        <f>F43</f>
        <v>43347.71500068967</v>
      </c>
      <c r="G30" s="376">
        <f>G43</f>
        <v>40939.08556883406</v>
      </c>
      <c r="H30" s="361">
        <f t="shared" si="12"/>
        <v>-2408.6294318556102</v>
      </c>
      <c r="I30" s="32">
        <f t="shared" si="13"/>
        <v>-5.5565314845714205E-2</v>
      </c>
      <c r="J30" s="4"/>
      <c r="K30" s="4"/>
      <c r="L30" s="4"/>
      <c r="M30" s="4"/>
      <c r="N30" s="4"/>
      <c r="O30" s="4"/>
      <c r="P30" s="4"/>
    </row>
    <row r="31" spans="1:17" s="159" customFormat="1" ht="13.95" customHeight="1" thickBot="1" x14ac:dyDescent="0.35">
      <c r="A31" s="166" t="s">
        <v>80</v>
      </c>
      <c r="B31" s="377">
        <f>B24-B29+B30</f>
        <v>127085.10995852567</v>
      </c>
      <c r="C31" s="377">
        <f>C24-C29+C30</f>
        <v>11373.61439535745</v>
      </c>
      <c r="D31" s="377">
        <f>D24-D29+D30</f>
        <v>39213.908999272659</v>
      </c>
      <c r="E31" s="378">
        <f t="shared" ref="E31:F31" si="17">E24-E29+E30</f>
        <v>6278.7950761615139</v>
      </c>
      <c r="F31" s="378">
        <f t="shared" si="17"/>
        <v>-11139.687063914491</v>
      </c>
      <c r="G31" s="378">
        <f t="shared" ref="G31:H31" si="18">G24-G29+G30</f>
        <v>12585.373112970577</v>
      </c>
      <c r="H31" s="378">
        <f t="shared" si="18"/>
        <v>23725.060176885068</v>
      </c>
      <c r="I31" s="380">
        <f t="shared" si="13"/>
        <v>-2.1297779767745175</v>
      </c>
      <c r="J31" s="157"/>
      <c r="K31" s="157"/>
      <c r="L31" s="157"/>
      <c r="M31" s="157"/>
      <c r="N31" s="157"/>
      <c r="O31" s="157"/>
      <c r="P31" s="157"/>
      <c r="Q31" s="2"/>
    </row>
    <row r="32" spans="1:17" ht="13.95" customHeight="1" x14ac:dyDescent="0.3">
      <c r="A32" s="229"/>
      <c r="E32" s="361"/>
      <c r="F32" s="361"/>
      <c r="G32" s="361"/>
      <c r="I32" s="4" t="str">
        <f>IFERROR((E32-#REF!)/#REF!,"")</f>
        <v/>
      </c>
      <c r="J32" s="4"/>
      <c r="K32" s="4"/>
      <c r="L32" s="4"/>
      <c r="M32" s="4"/>
      <c r="N32" s="4"/>
      <c r="O32" s="4"/>
      <c r="P32" s="4"/>
    </row>
    <row r="33" spans="1:17" ht="13.95" customHeight="1" x14ac:dyDescent="0.3">
      <c r="A33" s="229"/>
      <c r="I33" s="4" t="str">
        <f>IFERROR((E33-#REF!)/#REF!,"")</f>
        <v/>
      </c>
      <c r="J33" s="4"/>
      <c r="K33" s="4"/>
      <c r="L33" s="4"/>
      <c r="M33" s="4"/>
      <c r="N33" s="4"/>
      <c r="O33" s="4"/>
      <c r="P33" s="4"/>
    </row>
    <row r="34" spans="1:17" ht="13.95" customHeight="1" x14ac:dyDescent="0.3">
      <c r="A34" s="229"/>
      <c r="I34" s="4" t="str">
        <f>IFERROR((E34-#REF!)/#REF!,"")</f>
        <v/>
      </c>
      <c r="J34" s="4"/>
      <c r="K34" s="4"/>
      <c r="L34" s="4"/>
      <c r="M34" s="4"/>
      <c r="N34" s="4"/>
      <c r="O34" s="4"/>
      <c r="P34" s="4"/>
    </row>
    <row r="35" spans="1:17" ht="13.95" customHeight="1" x14ac:dyDescent="0.3">
      <c r="A35" s="230" t="str">
        <f>A20</f>
        <v>BUDGET SUMMARY FOR 2023-24</v>
      </c>
      <c r="I35" s="4" t="str">
        <f>IFERROR((E35-#REF!)/#REF!,"")</f>
        <v/>
      </c>
      <c r="J35" s="4"/>
      <c r="K35" s="4"/>
      <c r="L35" s="4"/>
      <c r="M35" s="4"/>
      <c r="N35" s="4"/>
      <c r="O35" s="4"/>
      <c r="P35" s="4"/>
    </row>
    <row r="36" spans="1:17" ht="13.95" customHeight="1" x14ac:dyDescent="0.3">
      <c r="A36" s="231" t="s">
        <v>243</v>
      </c>
      <c r="I36" s="4" t="str">
        <f>IFERROR((E36-#REF!)/#REF!,"")</f>
        <v/>
      </c>
      <c r="J36" s="4"/>
      <c r="K36" s="4"/>
      <c r="L36" s="4"/>
      <c r="M36" s="4"/>
      <c r="N36" s="4"/>
      <c r="O36" s="4"/>
      <c r="P36" s="4"/>
    </row>
    <row r="37" spans="1:17" s="159" customFormat="1" ht="27.6" x14ac:dyDescent="0.3">
      <c r="A37" s="232" t="s">
        <v>120</v>
      </c>
      <c r="B37" s="161" t="str">
        <f t="shared" ref="B37:I37" si="19">B4</f>
        <v>ACTUAL 2020-21</v>
      </c>
      <c r="C37" s="161" t="str">
        <f t="shared" si="19"/>
        <v>ACTUAL 2021-22</v>
      </c>
      <c r="D37" s="161" t="str">
        <f t="shared" si="19"/>
        <v>ACTUAL 2022-23</v>
      </c>
      <c r="E37" s="375" t="str">
        <f t="shared" si="19"/>
        <v>BUDGET 2021-22</v>
      </c>
      <c r="F37" s="375" t="str">
        <f t="shared" si="19"/>
        <v>BUDGET 2022-23</v>
      </c>
      <c r="G37" s="375" t="str">
        <f t="shared" si="19"/>
        <v>BUDGET 2023-24</v>
      </c>
      <c r="H37" s="375" t="str">
        <f t="shared" si="19"/>
        <v xml:space="preserve">
VARIANCE</v>
      </c>
      <c r="I37" s="379" t="str">
        <f t="shared" si="19"/>
        <v>% CHANGE</v>
      </c>
      <c r="J37" s="157"/>
      <c r="K37" s="157"/>
      <c r="L37" s="157"/>
      <c r="M37" s="157"/>
      <c r="N37" s="157"/>
      <c r="O37" s="157"/>
      <c r="P37" s="157"/>
    </row>
    <row r="38" spans="1:17" ht="13.95" customHeight="1" x14ac:dyDescent="0.3">
      <c r="A38" s="3" t="s">
        <v>244</v>
      </c>
      <c r="B38" s="53">
        <f>TENANTS!D13</f>
        <v>57025.329999999994</v>
      </c>
      <c r="C38" s="53">
        <f>TENANTS!E13</f>
        <v>62775.426050141643</v>
      </c>
      <c r="D38" s="53">
        <f>TENANTS!F13</f>
        <v>71096.452445585528</v>
      </c>
      <c r="E38" s="376">
        <f>TENANTS!G13</f>
        <v>55924.234300000004</v>
      </c>
      <c r="F38" s="376">
        <f>TENANTS!H13</f>
        <v>41039.046482874997</v>
      </c>
      <c r="G38" s="376">
        <f>TENANTS!I13</f>
        <v>69474.224003216223</v>
      </c>
      <c r="H38" s="361">
        <f t="shared" ref="H38:H39" si="20">IFERROR((G38-F38),"")</f>
        <v>28435.177520341225</v>
      </c>
      <c r="I38" s="32">
        <f t="shared" ref="I38:I45" si="21">IF(G38&lt;&gt;0,IFERROR((G38-F38)/F38,1),IFERROR((G38-F38)/F38,0))</f>
        <v>0.69288104761904779</v>
      </c>
      <c r="J38" s="4"/>
      <c r="K38" s="4"/>
      <c r="L38" s="4"/>
      <c r="M38" s="4"/>
      <c r="N38" s="4"/>
      <c r="O38" s="4"/>
      <c r="P38" s="4"/>
    </row>
    <row r="39" spans="1:17" ht="13.95" customHeight="1" x14ac:dyDescent="0.3">
      <c r="A39" s="3" t="s">
        <v>87</v>
      </c>
      <c r="B39" s="53">
        <f>SUM(B38:B38)</f>
        <v>57025.329999999994</v>
      </c>
      <c r="C39" s="53">
        <f t="shared" ref="C39:G39" si="22">SUM(C38:C38)</f>
        <v>62775.426050141643</v>
      </c>
      <c r="D39" s="53">
        <f t="shared" si="22"/>
        <v>71096.452445585528</v>
      </c>
      <c r="E39" s="376">
        <f t="shared" si="22"/>
        <v>55924.234300000004</v>
      </c>
      <c r="F39" s="376">
        <f t="shared" si="22"/>
        <v>41039.046482874997</v>
      </c>
      <c r="G39" s="376">
        <f t="shared" si="22"/>
        <v>69474.224003216223</v>
      </c>
      <c r="H39" s="361">
        <f t="shared" si="20"/>
        <v>28435.177520341225</v>
      </c>
      <c r="I39" s="32">
        <f t="shared" si="21"/>
        <v>0.69288104761904779</v>
      </c>
      <c r="J39" s="4"/>
      <c r="K39" s="4"/>
      <c r="L39" s="4"/>
      <c r="M39" s="4"/>
      <c r="N39" s="4"/>
      <c r="O39" s="4"/>
      <c r="P39" s="4"/>
    </row>
    <row r="40" spans="1:17" ht="13.95" customHeight="1" x14ac:dyDescent="0.3">
      <c r="A40" s="3" t="s">
        <v>79</v>
      </c>
      <c r="B40" s="53"/>
      <c r="C40" s="53"/>
      <c r="D40" s="53"/>
      <c r="E40" s="376"/>
      <c r="F40" s="376"/>
      <c r="G40" s="376"/>
      <c r="H40" s="361"/>
      <c r="I40" s="32">
        <f t="shared" si="21"/>
        <v>0</v>
      </c>
      <c r="J40" s="220"/>
      <c r="K40" s="4"/>
      <c r="L40" s="4"/>
      <c r="M40" s="4"/>
      <c r="N40" s="4"/>
      <c r="O40" s="4"/>
      <c r="P40" s="4"/>
    </row>
    <row r="41" spans="1:17" ht="13.95" customHeight="1" x14ac:dyDescent="0.3">
      <c r="A41" s="3" t="s">
        <v>646</v>
      </c>
      <c r="B41" s="53">
        <f>TENANTS!D20</f>
        <v>13439.561100000003</v>
      </c>
      <c r="C41" s="53">
        <f>TENANTS!E20</f>
        <v>12784.724399999999</v>
      </c>
      <c r="D41" s="53">
        <f>TENANTS!F20</f>
        <v>14021.693280000001</v>
      </c>
      <c r="E41" s="376">
        <f>TENANTS!G20</f>
        <v>14522.405099999998</v>
      </c>
      <c r="F41" s="376">
        <f>TENANTS!H20</f>
        <v>16275.545097</v>
      </c>
      <c r="G41" s="376">
        <f>TENANTS!I20</f>
        <v>17478.745069275006</v>
      </c>
      <c r="H41" s="361">
        <f t="shared" ref="H41:H44" si="23">IFERROR((G41-F41),"")</f>
        <v>1203.1999722750061</v>
      </c>
      <c r="I41" s="32">
        <f t="shared" si="21"/>
        <v>7.3926861748967579E-2</v>
      </c>
      <c r="J41" s="4"/>
      <c r="K41" s="4"/>
      <c r="L41" s="4"/>
      <c r="M41" s="4"/>
      <c r="N41" s="4"/>
      <c r="O41" s="4"/>
      <c r="P41" s="4"/>
    </row>
    <row r="42" spans="1:17" ht="13.95" customHeight="1" x14ac:dyDescent="0.3">
      <c r="A42" s="3" t="s">
        <v>90</v>
      </c>
      <c r="B42" s="53">
        <f>TENANTS!D19</f>
        <v>14581.849999999999</v>
      </c>
      <c r="C42" s="53">
        <f>TENANTS!E19</f>
        <v>24552.57</v>
      </c>
      <c r="D42" s="53">
        <f>TENANTS!F19</f>
        <v>56839.763999999996</v>
      </c>
      <c r="E42" s="376">
        <f>TENANTS!G19</f>
        <v>26500</v>
      </c>
      <c r="F42" s="376">
        <f>TENANTS!H19</f>
        <v>28980.5</v>
      </c>
      <c r="G42" s="376">
        <f>TENANTS!I19</f>
        <v>41887.199999999997</v>
      </c>
      <c r="H42" s="361">
        <f t="shared" si="23"/>
        <v>12906.699999999997</v>
      </c>
      <c r="I42" s="32">
        <f t="shared" si="21"/>
        <v>0.44535808560928891</v>
      </c>
      <c r="J42" s="4"/>
      <c r="K42" s="4"/>
      <c r="L42" s="4"/>
      <c r="M42" s="4"/>
      <c r="N42" s="4"/>
      <c r="O42" s="4"/>
      <c r="P42" s="4"/>
    </row>
    <row r="43" spans="1:17" ht="13.95" customHeight="1" x14ac:dyDescent="0.3">
      <c r="A43" s="3" t="str">
        <f>TENANTS!C21</f>
        <v>ADD: 15% Shared costs</v>
      </c>
      <c r="B43" s="53">
        <f>TENANTS!D21</f>
        <v>12447.667289525687</v>
      </c>
      <c r="C43" s="53">
        <f>TENANTS!E21</f>
        <v>35171.145649707978</v>
      </c>
      <c r="D43" s="53">
        <f>TENANTS!F21</f>
        <v>40897.267249277538</v>
      </c>
      <c r="E43" s="376">
        <f>TENANTS!G21</f>
        <v>34799.6599761615</v>
      </c>
      <c r="F43" s="376">
        <f>TENANTS!H21</f>
        <v>43347.71500068967</v>
      </c>
      <c r="G43" s="376">
        <f>TENANTS!I21</f>
        <v>40939.08556883406</v>
      </c>
      <c r="H43" s="361">
        <f t="shared" si="23"/>
        <v>-2408.6294318556102</v>
      </c>
      <c r="I43" s="32">
        <f t="shared" si="21"/>
        <v>-5.5565314845714205E-2</v>
      </c>
      <c r="J43" s="4"/>
      <c r="K43" s="4"/>
      <c r="L43" s="4"/>
      <c r="M43" s="4"/>
      <c r="N43" s="4"/>
      <c r="O43" s="4"/>
      <c r="P43" s="4"/>
    </row>
    <row r="44" spans="1:17" ht="13.95" customHeight="1" x14ac:dyDescent="0.3">
      <c r="A44" s="3" t="s">
        <v>88</v>
      </c>
      <c r="B44" s="53">
        <f>SUM(B41:B43)</f>
        <v>40469.07838952569</v>
      </c>
      <c r="C44" s="53">
        <f>SUM(C41:C43)</f>
        <v>72508.440049707977</v>
      </c>
      <c r="D44" s="53">
        <f>SUM(D41:D43)</f>
        <v>111758.72452927753</v>
      </c>
      <c r="E44" s="376">
        <f t="shared" ref="E44:F44" si="24">SUM(E41:E43)</f>
        <v>75822.065076161496</v>
      </c>
      <c r="F44" s="376">
        <f t="shared" si="24"/>
        <v>88603.760097689665</v>
      </c>
      <c r="G44" s="376">
        <f t="shared" ref="G44" si="25">SUM(G41:G43)</f>
        <v>100305.03063810906</v>
      </c>
      <c r="H44" s="361">
        <f t="shared" si="23"/>
        <v>11701.270540419398</v>
      </c>
      <c r="I44" s="32">
        <f t="shared" si="21"/>
        <v>0.13206291163623549</v>
      </c>
      <c r="J44" s="4"/>
      <c r="K44" s="4"/>
      <c r="L44" s="4"/>
      <c r="M44" s="4"/>
      <c r="N44" s="4"/>
      <c r="O44" s="4"/>
      <c r="P44" s="4"/>
    </row>
    <row r="45" spans="1:17" s="159" customFormat="1" ht="13.95" customHeight="1" thickBot="1" x14ac:dyDescent="0.35">
      <c r="A45" s="166" t="s">
        <v>80</v>
      </c>
      <c r="B45" s="377">
        <f>B39-B44</f>
        <v>16556.251610474304</v>
      </c>
      <c r="C45" s="377">
        <f>C39-C44</f>
        <v>-9733.013999566334</v>
      </c>
      <c r="D45" s="377">
        <f>D39-D44</f>
        <v>-40662.272083692005</v>
      </c>
      <c r="E45" s="378">
        <f t="shared" ref="E45" si="26">E39-E44</f>
        <v>-19897.830776161492</v>
      </c>
      <c r="F45" s="378">
        <f>F39-F44</f>
        <v>-47564.713614814667</v>
      </c>
      <c r="G45" s="378">
        <f>G39-G44</f>
        <v>-30830.806634892841</v>
      </c>
      <c r="H45" s="378">
        <f>H39-H44</f>
        <v>16733.906979921827</v>
      </c>
      <c r="I45" s="380">
        <f t="shared" si="21"/>
        <v>-0.35181347070509489</v>
      </c>
      <c r="J45" s="157"/>
      <c r="K45" s="157"/>
      <c r="L45" s="157"/>
      <c r="M45" s="157"/>
      <c r="N45" s="157"/>
      <c r="O45" s="157"/>
      <c r="P45" s="157"/>
      <c r="Q45" s="2"/>
    </row>
    <row r="47" spans="1:17" ht="13.95" customHeight="1" x14ac:dyDescent="0.3">
      <c r="A47" s="42" t="s">
        <v>121</v>
      </c>
    </row>
    <row r="48" spans="1:17" ht="13.95" customHeight="1" x14ac:dyDescent="0.3">
      <c r="A48" s="42" t="s">
        <v>122</v>
      </c>
      <c r="B48" s="52" t="s">
        <v>123</v>
      </c>
    </row>
    <row r="49" spans="1:2" ht="13.95" customHeight="1" x14ac:dyDescent="0.3">
      <c r="A49" s="42" t="s">
        <v>124</v>
      </c>
      <c r="B49" s="52" t="s">
        <v>125</v>
      </c>
    </row>
    <row r="50" spans="1:2" ht="13.95" customHeight="1" x14ac:dyDescent="0.3">
      <c r="A50" s="42" t="s">
        <v>126</v>
      </c>
      <c r="B50" s="52" t="s">
        <v>127</v>
      </c>
    </row>
    <row r="51" spans="1:2" ht="13.95" customHeight="1" x14ac:dyDescent="0.3">
      <c r="A51" s="42" t="s">
        <v>128</v>
      </c>
      <c r="B51" s="52" t="s">
        <v>129</v>
      </c>
    </row>
    <row r="52" spans="1:2" ht="13.95" customHeight="1" x14ac:dyDescent="0.3">
      <c r="A52" s="42" t="s">
        <v>130</v>
      </c>
      <c r="B52" s="52" t="s">
        <v>131</v>
      </c>
    </row>
    <row r="53" spans="1:2" ht="13.95" customHeight="1" x14ac:dyDescent="0.3">
      <c r="A53" s="42" t="s">
        <v>132</v>
      </c>
      <c r="B53" s="52" t="s">
        <v>133</v>
      </c>
    </row>
    <row r="54" spans="1:2" ht="13.95" customHeight="1" x14ac:dyDescent="0.3">
      <c r="A54" s="42" t="s">
        <v>134</v>
      </c>
      <c r="B54" s="52" t="s">
        <v>135</v>
      </c>
    </row>
    <row r="55" spans="1:2" ht="13.95" customHeight="1" x14ac:dyDescent="0.3">
      <c r="A55" s="42" t="s">
        <v>136</v>
      </c>
      <c r="B55" s="52" t="s">
        <v>137</v>
      </c>
    </row>
    <row r="56" spans="1:2" ht="13.95" customHeight="1" x14ac:dyDescent="0.3">
      <c r="A56" s="42" t="s">
        <v>138</v>
      </c>
      <c r="B56" s="52" t="s">
        <v>139</v>
      </c>
    </row>
  </sheetData>
  <phoneticPr fontId="7" type="noConversion"/>
  <printOptions horizontalCentered="1" gridLines="1"/>
  <pageMargins left="0.19685039370078741" right="0.19685039370078741" top="0.55118110236220474" bottom="0.15748031496062992" header="0.11811023622047245" footer="0.11811023622047245"/>
  <pageSetup paperSize="9" scale="63" orientation="portrait"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5A405-7C50-44AF-B116-20D305A01696}">
  <dimension ref="A1:Q71"/>
  <sheetViews>
    <sheetView workbookViewId="0">
      <selection activeCell="J54" sqref="J54"/>
    </sheetView>
  </sheetViews>
  <sheetFormatPr defaultColWidth="8.88671875" defaultRowHeight="14.4" x14ac:dyDescent="0.3"/>
  <cols>
    <col min="1" max="1" width="12.33203125" customWidth="1"/>
    <col min="2" max="2" width="21.109375" customWidth="1"/>
    <col min="6" max="6" width="12.33203125" bestFit="1" customWidth="1"/>
    <col min="7" max="7" width="13.6640625" customWidth="1"/>
    <col min="8" max="8" width="16" customWidth="1"/>
    <col min="9" max="9" width="11.33203125" style="56" bestFit="1" customWidth="1"/>
    <col min="10" max="10" width="10.33203125" style="56" bestFit="1" customWidth="1"/>
    <col min="11" max="11" width="11.33203125" bestFit="1" customWidth="1"/>
    <col min="13" max="13" width="11.44140625" bestFit="1" customWidth="1"/>
    <col min="14" max="14" width="16.44140625" customWidth="1"/>
    <col min="15" max="15" width="11.33203125" bestFit="1" customWidth="1"/>
    <col min="16" max="16" width="10.33203125" bestFit="1" customWidth="1"/>
  </cols>
  <sheetData>
    <row r="1" spans="1:17" ht="15.6" x14ac:dyDescent="0.3">
      <c r="A1" s="410" t="s">
        <v>247</v>
      </c>
      <c r="B1" s="411"/>
      <c r="C1" s="411"/>
      <c r="D1" s="411"/>
      <c r="E1" s="411"/>
      <c r="F1" s="411"/>
      <c r="G1" s="411"/>
      <c r="H1" s="412"/>
    </row>
    <row r="2" spans="1:17" ht="16.2" thickBot="1" x14ac:dyDescent="0.35">
      <c r="A2" s="413" t="s">
        <v>474</v>
      </c>
      <c r="B2" s="414"/>
      <c r="C2" s="414"/>
      <c r="D2" s="414"/>
      <c r="E2" s="414"/>
      <c r="F2" s="414"/>
      <c r="G2" s="414"/>
      <c r="H2" s="415"/>
    </row>
    <row r="3" spans="1:17" ht="15.6" x14ac:dyDescent="0.3">
      <c r="A3" s="57"/>
      <c r="B3" s="58"/>
      <c r="C3" s="59"/>
      <c r="D3" s="60"/>
      <c r="E3" s="60"/>
      <c r="F3" s="60"/>
      <c r="G3" s="60"/>
      <c r="H3" s="61"/>
    </row>
    <row r="4" spans="1:17" x14ac:dyDescent="0.3">
      <c r="A4" s="62"/>
      <c r="B4" s="58"/>
      <c r="C4" s="60"/>
      <c r="D4" s="60"/>
      <c r="G4" s="60"/>
      <c r="H4" s="64"/>
    </row>
    <row r="5" spans="1:17" x14ac:dyDescent="0.3">
      <c r="A5" s="57"/>
      <c r="B5" s="58"/>
      <c r="C5" s="60"/>
      <c r="D5" s="60"/>
      <c r="E5" s="63" t="s">
        <v>249</v>
      </c>
      <c r="F5" s="63" t="s">
        <v>250</v>
      </c>
      <c r="G5" s="60"/>
      <c r="H5" s="65" t="s">
        <v>251</v>
      </c>
    </row>
    <row r="6" spans="1:17" ht="15" thickBot="1" x14ac:dyDescent="0.35">
      <c r="A6" s="62"/>
      <c r="B6" s="58"/>
      <c r="C6" s="60"/>
      <c r="D6" s="60"/>
      <c r="E6" s="60"/>
      <c r="F6" s="60"/>
      <c r="G6" s="60"/>
      <c r="H6" s="66" t="s">
        <v>252</v>
      </c>
    </row>
    <row r="7" spans="1:17" x14ac:dyDescent="0.3">
      <c r="A7" s="62"/>
      <c r="B7" s="58"/>
      <c r="C7" s="60" t="s">
        <v>253</v>
      </c>
      <c r="D7" s="60"/>
      <c r="E7" s="60">
        <v>42</v>
      </c>
      <c r="F7" s="60"/>
      <c r="G7" s="249">
        <f>E7/$E$9</f>
        <v>0.15613382899628253</v>
      </c>
      <c r="H7" s="64"/>
      <c r="I7" s="363">
        <v>0.23</v>
      </c>
      <c r="M7" s="388"/>
      <c r="N7" s="389"/>
      <c r="O7" s="389"/>
      <c r="P7" s="389"/>
      <c r="Q7" s="390"/>
    </row>
    <row r="8" spans="1:17" x14ac:dyDescent="0.3">
      <c r="A8" s="62"/>
      <c r="B8" s="58"/>
      <c r="C8" s="60" t="s">
        <v>254</v>
      </c>
      <c r="D8" s="60"/>
      <c r="E8" s="60">
        <v>227</v>
      </c>
      <c r="F8" s="60"/>
      <c r="G8" s="249">
        <f t="shared" ref="G8:G9" si="0">E8/$E$9</f>
        <v>0.84386617100371752</v>
      </c>
      <c r="H8" s="64"/>
      <c r="I8" s="363">
        <v>0.77</v>
      </c>
      <c r="M8" s="391"/>
      <c r="N8" s="392" t="s">
        <v>697</v>
      </c>
      <c r="O8" s="392"/>
      <c r="P8" s="392"/>
      <c r="Q8" s="393"/>
    </row>
    <row r="9" spans="1:17" ht="15" thickBot="1" x14ac:dyDescent="0.35">
      <c r="A9" s="67"/>
      <c r="B9" s="68"/>
      <c r="C9" s="69"/>
      <c r="D9" s="69"/>
      <c r="E9" s="70">
        <v>269</v>
      </c>
      <c r="F9" s="70">
        <v>152</v>
      </c>
      <c r="G9" s="70">
        <f t="shared" si="0"/>
        <v>1</v>
      </c>
      <c r="H9" s="71"/>
      <c r="M9" s="391"/>
      <c r="N9" s="392"/>
      <c r="O9" s="392"/>
      <c r="P9" s="392"/>
      <c r="Q9" s="393"/>
    </row>
    <row r="10" spans="1:17" ht="15" thickTop="1" x14ac:dyDescent="0.3">
      <c r="A10" s="57"/>
      <c r="B10" s="72"/>
      <c r="C10" s="60"/>
      <c r="D10" s="60"/>
      <c r="E10" s="60"/>
      <c r="F10" s="60"/>
      <c r="G10" s="60"/>
      <c r="H10" s="64"/>
      <c r="I10" s="56" t="s">
        <v>479</v>
      </c>
      <c r="J10" s="56" t="s">
        <v>480</v>
      </c>
      <c r="M10" s="394" t="s">
        <v>698</v>
      </c>
      <c r="N10" s="395" t="s">
        <v>699</v>
      </c>
      <c r="O10" s="395" t="s">
        <v>700</v>
      </c>
      <c r="P10" s="395" t="s">
        <v>701</v>
      </c>
      <c r="Q10" s="393"/>
    </row>
    <row r="11" spans="1:17" ht="15.6" x14ac:dyDescent="0.3">
      <c r="A11" s="235" t="s">
        <v>255</v>
      </c>
      <c r="B11" s="58"/>
      <c r="C11" s="73"/>
      <c r="D11" s="74"/>
      <c r="E11" s="75"/>
      <c r="F11" s="76" t="s">
        <v>256</v>
      </c>
      <c r="G11" s="238"/>
      <c r="H11" s="240"/>
      <c r="I11" s="250">
        <f>G8</f>
        <v>0.84386617100371752</v>
      </c>
      <c r="J11" s="250">
        <f>G7</f>
        <v>0.15613382899628253</v>
      </c>
      <c r="M11" s="391"/>
      <c r="N11" s="392"/>
      <c r="O11" s="392"/>
      <c r="P11" s="392"/>
      <c r="Q11" s="393"/>
    </row>
    <row r="12" spans="1:17" ht="15.6" x14ac:dyDescent="0.3">
      <c r="B12" s="165" t="s">
        <v>257</v>
      </c>
      <c r="C12" s="80" t="s">
        <v>258</v>
      </c>
      <c r="D12" s="81"/>
      <c r="E12" s="82"/>
      <c r="F12" s="83">
        <v>95971.676405502963</v>
      </c>
      <c r="G12" s="239">
        <f>F12/4</f>
        <v>23992.919101375741</v>
      </c>
      <c r="H12" s="241">
        <f>G12/F12</f>
        <v>0.25</v>
      </c>
      <c r="I12" s="255">
        <f>F12*G$8</f>
        <v>80987.251093119601</v>
      </c>
      <c r="J12" s="255">
        <f>F12-I12</f>
        <v>14984.425312383362</v>
      </c>
      <c r="K12" s="259">
        <f>[2]TB22!D30</f>
        <v>93357.479999999981</v>
      </c>
      <c r="M12" s="396">
        <f>I12*1.1492</f>
        <v>93070.548956213039</v>
      </c>
      <c r="N12" s="397">
        <f>J12*1.1492</f>
        <v>17220.101568990958</v>
      </c>
      <c r="O12" s="397">
        <f>M12+N12-P12</f>
        <v>84923.800904407079</v>
      </c>
      <c r="P12" s="397">
        <f>N12/$N$19*23%</f>
        <v>25366.849620796922</v>
      </c>
      <c r="Q12" s="393"/>
    </row>
    <row r="13" spans="1:17" ht="15.6" x14ac:dyDescent="0.3">
      <c r="B13" s="79" t="s">
        <v>259</v>
      </c>
      <c r="C13" s="80" t="s">
        <v>260</v>
      </c>
      <c r="D13" s="85"/>
      <c r="E13" s="82"/>
      <c r="F13" s="83">
        <v>153153.97261799657</v>
      </c>
      <c r="G13" s="239">
        <f t="shared" ref="G13:G18" si="1">F13/4</f>
        <v>38288.493154499141</v>
      </c>
      <c r="H13" s="241">
        <f t="shared" ref="H13:H18" si="2">G13/F13</f>
        <v>0.25</v>
      </c>
      <c r="I13" s="255">
        <f t="shared" ref="I13:I16" si="3">F13*G$8</f>
        <v>129241.45644715696</v>
      </c>
      <c r="J13" s="56">
        <f>F13-I13</f>
        <v>23912.516170839604</v>
      </c>
      <c r="K13" s="259">
        <f>[2]TB22!D31</f>
        <v>11464.4</v>
      </c>
      <c r="M13" s="396">
        <f t="shared" ref="M13:M17" si="4">I13*1.1492</f>
        <v>148524.28174907278</v>
      </c>
      <c r="N13" s="397">
        <f t="shared" ref="N13:N16" si="5">J13*1.1492</f>
        <v>27480.263583528875</v>
      </c>
      <c r="O13" s="397">
        <f t="shared" ref="O13:O16" si="6">M13+N13-P13</f>
        <v>135523.49990610327</v>
      </c>
      <c r="P13" s="397">
        <f t="shared" ref="P13:P16" si="7">N13/$N$19*23%</f>
        <v>40481.045426498378</v>
      </c>
      <c r="Q13" s="393"/>
    </row>
    <row r="14" spans="1:17" ht="15.6" x14ac:dyDescent="0.3">
      <c r="B14" s="79" t="s">
        <v>261</v>
      </c>
      <c r="C14" s="80" t="s">
        <v>262</v>
      </c>
      <c r="D14" s="82"/>
      <c r="E14" s="82"/>
      <c r="F14" s="83">
        <v>10634.296976555677</v>
      </c>
      <c r="G14" s="239">
        <f t="shared" si="1"/>
        <v>2658.5742441389193</v>
      </c>
      <c r="H14" s="241">
        <f t="shared" si="2"/>
        <v>0.25</v>
      </c>
      <c r="I14" s="255">
        <f t="shared" si="3"/>
        <v>8973.9234709224493</v>
      </c>
      <c r="J14" s="255">
        <f t="shared" ref="J14:J16" si="8">F14-I14</f>
        <v>1660.373505633228</v>
      </c>
      <c r="K14" s="259">
        <f>[2]TB22!D32</f>
        <v>1875.24</v>
      </c>
      <c r="M14" s="396">
        <f t="shared" si="4"/>
        <v>10312.832852784079</v>
      </c>
      <c r="N14" s="397">
        <f t="shared" si="5"/>
        <v>1908.1012326737057</v>
      </c>
      <c r="O14" s="397">
        <f t="shared" si="6"/>
        <v>9410.1192458024925</v>
      </c>
      <c r="P14" s="397">
        <f t="shared" si="7"/>
        <v>2810.8148396552906</v>
      </c>
      <c r="Q14" s="393"/>
    </row>
    <row r="15" spans="1:17" ht="15.6" x14ac:dyDescent="0.3">
      <c r="B15" s="79" t="s">
        <v>263</v>
      </c>
      <c r="C15" s="80" t="s">
        <v>264</v>
      </c>
      <c r="D15" s="82"/>
      <c r="E15" s="82"/>
      <c r="F15" s="83">
        <v>1930.4494534232531</v>
      </c>
      <c r="G15" s="239">
        <f t="shared" si="1"/>
        <v>482.61236335581327</v>
      </c>
      <c r="H15" s="241">
        <f t="shared" si="2"/>
        <v>0.25</v>
      </c>
      <c r="I15" s="255">
        <f t="shared" si="3"/>
        <v>1629.0409885765</v>
      </c>
      <c r="J15" s="255">
        <f t="shared" si="8"/>
        <v>301.40846484675308</v>
      </c>
      <c r="K15" s="259">
        <f>[2]TB22!D33</f>
        <v>148690.30000000002</v>
      </c>
      <c r="M15" s="396">
        <f t="shared" si="4"/>
        <v>1872.0939040721139</v>
      </c>
      <c r="N15" s="397">
        <f t="shared" si="5"/>
        <v>346.37860780188862</v>
      </c>
      <c r="O15" s="397">
        <f t="shared" si="6"/>
        <v>1708.2238341429822</v>
      </c>
      <c r="P15" s="397">
        <f t="shared" si="7"/>
        <v>510.24867773102028</v>
      </c>
      <c r="Q15" s="393"/>
    </row>
    <row r="16" spans="1:17" ht="15.6" x14ac:dyDescent="0.3">
      <c r="B16" s="79" t="s">
        <v>265</v>
      </c>
      <c r="C16" s="80" t="s">
        <v>266</v>
      </c>
      <c r="D16" s="82"/>
      <c r="E16" s="82"/>
      <c r="F16" s="83">
        <v>1154.9260677923578</v>
      </c>
      <c r="G16" s="239">
        <f t="shared" si="1"/>
        <v>288.73151694808945</v>
      </c>
      <c r="H16" s="241">
        <f t="shared" si="2"/>
        <v>0.25</v>
      </c>
      <c r="I16" s="255">
        <f t="shared" si="3"/>
        <v>974.60303862031685</v>
      </c>
      <c r="J16" s="255">
        <f t="shared" si="8"/>
        <v>180.32302917204095</v>
      </c>
      <c r="M16" s="396">
        <f t="shared" si="4"/>
        <v>1120.013811982468</v>
      </c>
      <c r="N16" s="397">
        <f t="shared" si="5"/>
        <v>207.22722512450946</v>
      </c>
      <c r="O16" s="397">
        <f t="shared" si="6"/>
        <v>1021.9755985723727</v>
      </c>
      <c r="P16" s="397">
        <f t="shared" si="7"/>
        <v>305.26543853460481</v>
      </c>
      <c r="Q16" s="393"/>
    </row>
    <row r="17" spans="1:17" ht="15.6" x14ac:dyDescent="0.3">
      <c r="A17" s="87"/>
      <c r="B17" s="86"/>
      <c r="C17" s="80"/>
      <c r="D17" s="82"/>
      <c r="E17" s="82"/>
      <c r="F17" s="88"/>
      <c r="G17" s="239">
        <f t="shared" si="1"/>
        <v>0</v>
      </c>
      <c r="H17" s="241"/>
      <c r="M17" s="396">
        <f t="shared" si="4"/>
        <v>0</v>
      </c>
      <c r="N17" s="397">
        <f>J17*1.1492</f>
        <v>0</v>
      </c>
      <c r="O17" s="397"/>
      <c r="P17" s="392"/>
      <c r="Q17" s="393"/>
    </row>
    <row r="18" spans="1:17" ht="15.6" x14ac:dyDescent="0.3">
      <c r="A18" s="87"/>
      <c r="B18" s="86"/>
      <c r="C18" s="89"/>
      <c r="D18" s="90"/>
      <c r="E18" s="91"/>
      <c r="F18" s="237">
        <v>262845.32152127079</v>
      </c>
      <c r="G18" s="243">
        <f t="shared" si="1"/>
        <v>65711.330380317697</v>
      </c>
      <c r="H18" s="242">
        <f t="shared" si="2"/>
        <v>0.25</v>
      </c>
      <c r="I18" s="251">
        <f>SUM(I12:I16)</f>
        <v>221806.27503839586</v>
      </c>
      <c r="J18" s="252">
        <f>SUM(J12:J16)</f>
        <v>41039.04648287499</v>
      </c>
      <c r="K18" s="259">
        <f>SUM(K12:K17)</f>
        <v>255387.41999999998</v>
      </c>
      <c r="L18" s="363">
        <f>J18/F18</f>
        <v>0.15613382899628253</v>
      </c>
      <c r="M18" s="398">
        <f>SUM(M12:M16)</f>
        <v>254899.7712741245</v>
      </c>
      <c r="N18" s="384">
        <f>SUM(N12:N16)</f>
        <v>47162.072218119938</v>
      </c>
      <c r="O18" s="384">
        <f t="shared" ref="O18:P18" si="9">SUM(O12:O16)</f>
        <v>232587.61948902821</v>
      </c>
      <c r="P18" s="384">
        <f t="shared" si="9"/>
        <v>69474.224003216223</v>
      </c>
      <c r="Q18" s="393"/>
    </row>
    <row r="19" spans="1:17" x14ac:dyDescent="0.3">
      <c r="A19" s="57"/>
      <c r="B19" s="72"/>
      <c r="C19" s="60"/>
      <c r="D19" s="60"/>
      <c r="E19" s="60"/>
      <c r="F19" s="94"/>
      <c r="G19" s="60"/>
      <c r="H19" s="64"/>
      <c r="K19" s="256">
        <f>TENANTS!H13-'WBC OFFER 2023'!J18</f>
        <v>0</v>
      </c>
      <c r="M19" s="399">
        <v>0.84</v>
      </c>
      <c r="N19" s="385">
        <f>N18/M20</f>
        <v>0.1561338289962825</v>
      </c>
      <c r="O19" s="385"/>
      <c r="P19" s="392"/>
      <c r="Q19" s="393"/>
    </row>
    <row r="20" spans="1:17" x14ac:dyDescent="0.3">
      <c r="A20" s="97" t="s">
        <v>268</v>
      </c>
      <c r="B20" s="72"/>
      <c r="C20" s="60"/>
      <c r="D20" s="60"/>
      <c r="E20" s="60"/>
      <c r="F20" s="98" t="s">
        <v>269</v>
      </c>
      <c r="G20" s="98" t="s">
        <v>270</v>
      </c>
      <c r="H20" s="99" t="s">
        <v>223</v>
      </c>
      <c r="I20" s="56" t="s">
        <v>479</v>
      </c>
      <c r="J20" s="56" t="s">
        <v>480</v>
      </c>
      <c r="M20" s="396">
        <f>M18+N18</f>
        <v>302061.84349224443</v>
      </c>
      <c r="N20" s="397">
        <f>N18/N19*23%</f>
        <v>69474.224003216223</v>
      </c>
      <c r="O20" s="397">
        <f>N20-N18</f>
        <v>22312.151785096285</v>
      </c>
      <c r="P20" s="392"/>
      <c r="Q20" s="393"/>
    </row>
    <row r="21" spans="1:17" x14ac:dyDescent="0.3">
      <c r="A21" s="100">
        <v>1.0283</v>
      </c>
      <c r="B21" s="72"/>
      <c r="C21" s="60"/>
      <c r="D21" s="60"/>
      <c r="E21" s="63"/>
      <c r="F21" s="98" t="s">
        <v>473</v>
      </c>
      <c r="G21" s="98"/>
      <c r="H21" s="99"/>
      <c r="I21" s="250">
        <f>I11</f>
        <v>0.84386617100371752</v>
      </c>
      <c r="J21" s="250">
        <f>J11</f>
        <v>0.15613382899628253</v>
      </c>
      <c r="M21" s="391"/>
      <c r="N21" s="392"/>
      <c r="O21" s="397"/>
      <c r="P21" s="392"/>
      <c r="Q21" s="393"/>
    </row>
    <row r="22" spans="1:17" x14ac:dyDescent="0.3">
      <c r="A22" s="62" t="s">
        <v>272</v>
      </c>
      <c r="B22" s="101" t="s">
        <v>273</v>
      </c>
      <c r="C22" s="60" t="s">
        <v>274</v>
      </c>
      <c r="D22" s="60"/>
      <c r="E22" s="102"/>
      <c r="F22" s="103">
        <v>37.330972002138367</v>
      </c>
      <c r="G22" s="60">
        <v>42</v>
      </c>
      <c r="H22" s="104">
        <v>1567.9008240898115</v>
      </c>
      <c r="I22" s="56">
        <f>H22*G$8*0%</f>
        <v>0</v>
      </c>
      <c r="J22" s="253">
        <f>H22-I22</f>
        <v>1567.9008240898115</v>
      </c>
      <c r="M22" s="396">
        <f>I22*1.1492</f>
        <v>0</v>
      </c>
      <c r="N22" s="397">
        <f>J22*1.1492</f>
        <v>1801.8316270440114</v>
      </c>
      <c r="O22" s="397">
        <f>M22+N22-P22</f>
        <v>-852.43796260391719</v>
      </c>
      <c r="P22" s="397">
        <f>N22/$N$19*23%</f>
        <v>2654.2695896479286</v>
      </c>
      <c r="Q22" s="393"/>
    </row>
    <row r="23" spans="1:17" x14ac:dyDescent="0.3">
      <c r="A23" s="62"/>
      <c r="B23" s="101" t="s">
        <v>273</v>
      </c>
      <c r="C23" s="60" t="s">
        <v>276</v>
      </c>
      <c r="D23" s="60"/>
      <c r="E23" s="102"/>
      <c r="F23" s="103">
        <v>65.158935629802571</v>
      </c>
      <c r="G23" s="60">
        <v>227</v>
      </c>
      <c r="H23" s="104">
        <v>14791.078387965183</v>
      </c>
      <c r="I23" s="56">
        <f>H23*G$8</f>
        <v>12481.690684268018</v>
      </c>
      <c r="J23" s="253">
        <f t="shared" ref="J23:J26" si="10">H23-I23</f>
        <v>2309.3877036971644</v>
      </c>
      <c r="M23" s="396">
        <f t="shared" ref="M23:M27" si="11">I23*1.1492</f>
        <v>14343.958934360806</v>
      </c>
      <c r="N23" s="397">
        <f t="shared" ref="N23:N27" si="12">J23*1.1492</f>
        <v>2653.9483490887815</v>
      </c>
      <c r="O23" s="397">
        <f t="shared" ref="O23:O27" si="13">M23+N23-P23</f>
        <v>13088.388608256186</v>
      </c>
      <c r="P23" s="397">
        <f t="shared" ref="P23:P27" si="14">N23/$N$19*23%</f>
        <v>3909.5186751934029</v>
      </c>
      <c r="Q23" s="393"/>
    </row>
    <row r="24" spans="1:17" x14ac:dyDescent="0.3">
      <c r="A24" s="62"/>
      <c r="B24" s="101" t="s">
        <v>273</v>
      </c>
      <c r="C24" s="60" t="s">
        <v>277</v>
      </c>
      <c r="D24" s="60"/>
      <c r="E24" s="102"/>
      <c r="F24" s="103">
        <v>76.532629966865883</v>
      </c>
      <c r="G24" s="60">
        <v>269</v>
      </c>
      <c r="H24" s="104">
        <v>20587.277461086924</v>
      </c>
      <c r="I24" s="56">
        <f>H24*G$8</f>
        <v>17372.907002478558</v>
      </c>
      <c r="J24" s="253">
        <f t="shared" si="10"/>
        <v>3214.3704586083659</v>
      </c>
      <c r="M24" s="396">
        <f t="shared" si="11"/>
        <v>19964.944727248359</v>
      </c>
      <c r="N24" s="397">
        <f t="shared" si="12"/>
        <v>3693.9545310327339</v>
      </c>
      <c r="O24" s="397">
        <f t="shared" si="13"/>
        <v>18217.352428876442</v>
      </c>
      <c r="P24" s="397">
        <f t="shared" si="14"/>
        <v>5441.5468294046505</v>
      </c>
      <c r="Q24" s="393"/>
    </row>
    <row r="25" spans="1:17" x14ac:dyDescent="0.3">
      <c r="A25" s="62"/>
      <c r="B25" s="101" t="s">
        <v>273</v>
      </c>
      <c r="C25" s="60" t="s">
        <v>278</v>
      </c>
      <c r="D25" s="60"/>
      <c r="E25" s="102"/>
      <c r="F25" s="103">
        <v>55.2811790017305</v>
      </c>
      <c r="G25" s="60">
        <v>269</v>
      </c>
      <c r="H25" s="104">
        <v>14870.637151465504</v>
      </c>
      <c r="I25" s="56">
        <f>H25*G$8</f>
        <v>12548.827633392824</v>
      </c>
      <c r="J25" s="253">
        <f t="shared" si="10"/>
        <v>2321.8095180726796</v>
      </c>
      <c r="M25" s="396">
        <f t="shared" si="11"/>
        <v>14421.112716295034</v>
      </c>
      <c r="N25" s="397">
        <f t="shared" si="12"/>
        <v>2668.2234981691236</v>
      </c>
      <c r="O25" s="397">
        <f t="shared" si="13"/>
        <v>13158.788885137403</v>
      </c>
      <c r="P25" s="397">
        <f t="shared" si="14"/>
        <v>3930.5473293267546</v>
      </c>
      <c r="Q25" s="393"/>
    </row>
    <row r="26" spans="1:17" x14ac:dyDescent="0.3">
      <c r="A26" s="62"/>
      <c r="B26" s="101" t="s">
        <v>273</v>
      </c>
      <c r="C26" s="60" t="s">
        <v>279</v>
      </c>
      <c r="D26" s="60"/>
      <c r="E26" s="102"/>
      <c r="F26" s="103">
        <v>157.67868615077361</v>
      </c>
      <c r="G26" s="60">
        <v>269</v>
      </c>
      <c r="H26" s="104">
        <v>42415.566574558099</v>
      </c>
      <c r="I26" s="255">
        <f>H26*G$8</f>
        <v>35793.061756225608</v>
      </c>
      <c r="J26" s="253">
        <f t="shared" si="10"/>
        <v>6622.5048183324907</v>
      </c>
      <c r="M26" s="396">
        <f>I26*1.1492</f>
        <v>41133.386570254472</v>
      </c>
      <c r="N26" s="397">
        <f t="shared" si="12"/>
        <v>7610.5825372276986</v>
      </c>
      <c r="O26" s="397">
        <f t="shared" si="13"/>
        <v>37532.856212761268</v>
      </c>
      <c r="P26" s="397">
        <f t="shared" si="14"/>
        <v>11211.1128947209</v>
      </c>
      <c r="Q26" s="393"/>
    </row>
    <row r="27" spans="1:17" x14ac:dyDescent="0.3">
      <c r="A27" s="62"/>
      <c r="B27" s="101" t="s">
        <v>273</v>
      </c>
      <c r="C27" s="107" t="s">
        <v>280</v>
      </c>
      <c r="D27" s="107"/>
      <c r="E27" s="108"/>
      <c r="F27" s="103">
        <v>11.442210568009495</v>
      </c>
      <c r="G27" s="109">
        <v>152</v>
      </c>
      <c r="H27" s="104">
        <v>1739.2160063374431</v>
      </c>
      <c r="I27" s="56">
        <f>H27*G$8*0%</f>
        <v>0</v>
      </c>
      <c r="J27" s="253">
        <f>H27-I27</f>
        <v>1739.2160063374431</v>
      </c>
      <c r="M27" s="396">
        <f t="shared" si="11"/>
        <v>0</v>
      </c>
      <c r="N27" s="397">
        <f t="shared" si="12"/>
        <v>1998.7070344829897</v>
      </c>
      <c r="O27" s="397">
        <f t="shared" si="13"/>
        <v>-945.57878036135776</v>
      </c>
      <c r="P27" s="397">
        <f t="shared" si="14"/>
        <v>2944.2858148443474</v>
      </c>
      <c r="Q27" s="393"/>
    </row>
    <row r="28" spans="1:17" ht="15" thickBot="1" x14ac:dyDescent="0.35">
      <c r="A28" s="67"/>
      <c r="B28" s="68"/>
      <c r="C28" s="69"/>
      <c r="D28" s="69"/>
      <c r="E28" s="69"/>
      <c r="F28" s="110">
        <v>403.42461331932043</v>
      </c>
      <c r="G28" s="70"/>
      <c r="H28" s="111">
        <v>95971.676405502963</v>
      </c>
      <c r="I28" s="382">
        <f>SUM(I22:I27)</f>
        <v>78196.487076365011</v>
      </c>
      <c r="J28" s="383">
        <f>SUM(J22:J27)</f>
        <v>17775.189329137953</v>
      </c>
      <c r="M28" s="400">
        <f>SUM(M22:M27)</f>
        <v>89863.402948158677</v>
      </c>
      <c r="N28" s="387">
        <f>SUM(N22:N27)</f>
        <v>20427.247577045338</v>
      </c>
      <c r="O28" s="386">
        <f>SUM(O22:O27)</f>
        <v>80199.369392066015</v>
      </c>
      <c r="P28" s="387">
        <f>SUM(P22:P27)</f>
        <v>30091.281133137985</v>
      </c>
      <c r="Q28" s="393"/>
    </row>
    <row r="29" spans="1:17" ht="15" thickTop="1" x14ac:dyDescent="0.3">
      <c r="A29" s="62"/>
      <c r="B29" s="58"/>
      <c r="C29" s="60"/>
      <c r="D29" s="60"/>
      <c r="E29" s="60"/>
      <c r="F29" s="103"/>
      <c r="G29" s="60"/>
      <c r="H29" s="119"/>
      <c r="I29" s="254"/>
      <c r="J29" s="254"/>
      <c r="M29" s="391"/>
      <c r="N29" s="392"/>
      <c r="O29" s="392"/>
      <c r="P29" s="392"/>
      <c r="Q29" s="393"/>
    </row>
    <row r="30" spans="1:17" x14ac:dyDescent="0.3">
      <c r="A30" s="62"/>
      <c r="B30" s="58"/>
      <c r="C30" s="60"/>
      <c r="D30" s="60"/>
      <c r="E30" s="63"/>
      <c r="F30" s="63"/>
      <c r="G30" s="63"/>
      <c r="H30" s="104"/>
      <c r="I30" s="56" t="s">
        <v>479</v>
      </c>
      <c r="J30" s="56" t="s">
        <v>480</v>
      </c>
      <c r="M30" s="391"/>
      <c r="N30" s="392"/>
      <c r="O30" s="392"/>
      <c r="P30" s="392"/>
      <c r="Q30" s="393"/>
    </row>
    <row r="31" spans="1:17" x14ac:dyDescent="0.3">
      <c r="A31" s="97" t="s">
        <v>281</v>
      </c>
      <c r="B31" s="72"/>
      <c r="C31" s="60"/>
      <c r="D31" s="60"/>
      <c r="E31" s="112"/>
      <c r="F31" s="98" t="s">
        <v>473</v>
      </c>
      <c r="G31" s="98" t="s">
        <v>270</v>
      </c>
      <c r="H31" s="113" t="s">
        <v>223</v>
      </c>
      <c r="I31" s="250">
        <f>I21</f>
        <v>0.84386617100371752</v>
      </c>
      <c r="J31" s="250">
        <f>J21</f>
        <v>0.15613382899628253</v>
      </c>
      <c r="M31" s="391"/>
      <c r="N31" s="392"/>
      <c r="O31" s="392"/>
      <c r="P31" s="392"/>
      <c r="Q31" s="393"/>
    </row>
    <row r="32" spans="1:17" x14ac:dyDescent="0.3">
      <c r="A32" s="100">
        <v>1.0283</v>
      </c>
      <c r="B32" s="101" t="s">
        <v>282</v>
      </c>
      <c r="C32" s="60" t="s">
        <v>283</v>
      </c>
      <c r="D32" s="60"/>
      <c r="E32" s="114"/>
      <c r="F32" s="115">
        <v>17.021029137624904</v>
      </c>
      <c r="G32" s="60">
        <v>269</v>
      </c>
      <c r="H32" s="104">
        <v>4578.6568380210992</v>
      </c>
      <c r="I32" s="56">
        <f>H32*G$8</f>
        <v>3863.7736142408535</v>
      </c>
      <c r="J32" s="253">
        <f t="shared" ref="J32:J44" si="15">H32-I32</f>
        <v>714.88322378024577</v>
      </c>
      <c r="M32" s="396">
        <f>I32*1.1492</f>
        <v>4440.2486374855889</v>
      </c>
      <c r="N32" s="397">
        <f t="shared" ref="N32" si="16">J32*1.1492</f>
        <v>821.54380076825839</v>
      </c>
      <c r="O32" s="397">
        <f t="shared" ref="O32" si="17">M32+N32-P32</f>
        <v>4051.5801774554629</v>
      </c>
      <c r="P32" s="397">
        <f t="shared" ref="P32" si="18">N32/$N$19*23%</f>
        <v>1210.2122607983847</v>
      </c>
      <c r="Q32" s="393"/>
    </row>
    <row r="33" spans="1:17" x14ac:dyDescent="0.3">
      <c r="A33" s="100"/>
      <c r="B33" s="101"/>
      <c r="C33" s="60" t="s">
        <v>284</v>
      </c>
      <c r="D33" s="60"/>
      <c r="E33" s="114"/>
      <c r="F33" s="115">
        <v>0</v>
      </c>
      <c r="G33" s="60">
        <v>269</v>
      </c>
      <c r="H33" s="104">
        <v>0</v>
      </c>
      <c r="I33" s="56">
        <f t="shared" ref="I33:I44" si="19">H33*G$8</f>
        <v>0</v>
      </c>
      <c r="J33" s="253">
        <f t="shared" si="15"/>
        <v>0</v>
      </c>
      <c r="M33" s="396">
        <f t="shared" ref="M33:M46" si="20">I33*1.1492</f>
        <v>0</v>
      </c>
      <c r="N33" s="397">
        <f t="shared" ref="N33:N46" si="21">J33*1.1492</f>
        <v>0</v>
      </c>
      <c r="O33" s="397">
        <f t="shared" ref="O33:O46" si="22">M33+N33-P33</f>
        <v>0</v>
      </c>
      <c r="P33" s="397">
        <f t="shared" ref="P33:P46" si="23">N33/$N$19*23%</f>
        <v>0</v>
      </c>
      <c r="Q33" s="393"/>
    </row>
    <row r="34" spans="1:17" x14ac:dyDescent="0.3">
      <c r="A34" s="62" t="s">
        <v>272</v>
      </c>
      <c r="B34" s="58"/>
      <c r="C34" s="60" t="s">
        <v>285</v>
      </c>
      <c r="D34" s="60"/>
      <c r="E34" s="114"/>
      <c r="F34" s="115">
        <v>145.72256139947146</v>
      </c>
      <c r="G34" s="60">
        <v>269</v>
      </c>
      <c r="H34" s="104">
        <v>39199.369016457822</v>
      </c>
      <c r="I34" s="56">
        <f t="shared" si="19"/>
        <v>33079.021437680021</v>
      </c>
      <c r="J34" s="253">
        <f t="shared" si="15"/>
        <v>6120.3475787778007</v>
      </c>
      <c r="M34" s="396">
        <f t="shared" si="20"/>
        <v>38014.411436181879</v>
      </c>
      <c r="N34" s="397">
        <f t="shared" si="21"/>
        <v>7033.5034375314481</v>
      </c>
      <c r="O34" s="397">
        <f t="shared" si="22"/>
        <v>34686.894452759261</v>
      </c>
      <c r="P34" s="397">
        <f t="shared" si="23"/>
        <v>10361.020420954066</v>
      </c>
      <c r="Q34" s="393"/>
    </row>
    <row r="35" spans="1:17" x14ac:dyDescent="0.3">
      <c r="A35" s="62"/>
      <c r="B35" s="58"/>
      <c r="C35" s="60" t="s">
        <v>286</v>
      </c>
      <c r="D35" s="60"/>
      <c r="E35" s="114"/>
      <c r="F35" s="115">
        <v>1.7203854621990726</v>
      </c>
      <c r="G35" s="60">
        <v>269</v>
      </c>
      <c r="H35" s="104">
        <v>462.78368933155053</v>
      </c>
      <c r="I35" s="56">
        <f t="shared" si="19"/>
        <v>390.52749991918949</v>
      </c>
      <c r="J35" s="253">
        <f t="shared" si="15"/>
        <v>72.256189412361039</v>
      </c>
      <c r="M35" s="396">
        <f t="shared" si="20"/>
        <v>448.79420290713256</v>
      </c>
      <c r="N35" s="397">
        <f t="shared" si="21"/>
        <v>83.036812872685303</v>
      </c>
      <c r="O35" s="397">
        <f t="shared" si="22"/>
        <v>409.50988215045976</v>
      </c>
      <c r="P35" s="397">
        <f t="shared" si="23"/>
        <v>122.32113362935813</v>
      </c>
      <c r="Q35" s="393"/>
    </row>
    <row r="36" spans="1:17" x14ac:dyDescent="0.3">
      <c r="A36" s="62"/>
      <c r="B36" s="101" t="s">
        <v>287</v>
      </c>
      <c r="C36" s="60" t="s">
        <v>288</v>
      </c>
      <c r="D36" s="60"/>
      <c r="E36" s="114"/>
      <c r="F36" s="115">
        <v>149.77018377368975</v>
      </c>
      <c r="G36" s="60">
        <v>269</v>
      </c>
      <c r="H36" s="104">
        <v>40288.17943512254</v>
      </c>
      <c r="I36" s="56">
        <f t="shared" si="19"/>
        <v>33997.831716627574</v>
      </c>
      <c r="J36" s="253">
        <f t="shared" si="15"/>
        <v>6290.3477184949661</v>
      </c>
      <c r="M36" s="396">
        <f t="shared" si="20"/>
        <v>39070.308208748407</v>
      </c>
      <c r="N36" s="397">
        <f t="shared" si="21"/>
        <v>7228.8675980944154</v>
      </c>
      <c r="O36" s="397">
        <f t="shared" si="22"/>
        <v>35650.365371268977</v>
      </c>
      <c r="P36" s="397">
        <f t="shared" si="23"/>
        <v>10648.810435573847</v>
      </c>
      <c r="Q36" s="393"/>
    </row>
    <row r="37" spans="1:17" x14ac:dyDescent="0.3">
      <c r="A37" s="62"/>
      <c r="B37" s="101" t="s">
        <v>289</v>
      </c>
      <c r="C37" s="60" t="s">
        <v>290</v>
      </c>
      <c r="D37" s="60"/>
      <c r="E37" s="114"/>
      <c r="F37" s="115">
        <v>9.3981430114489175</v>
      </c>
      <c r="G37" s="60">
        <v>269</v>
      </c>
      <c r="H37" s="104">
        <v>2528.1004700797589</v>
      </c>
      <c r="I37" s="56">
        <f t="shared" si="19"/>
        <v>2133.3784635989045</v>
      </c>
      <c r="J37" s="253">
        <f t="shared" si="15"/>
        <v>394.72200648085436</v>
      </c>
      <c r="M37" s="396">
        <f t="shared" si="20"/>
        <v>2451.6785303678612</v>
      </c>
      <c r="N37" s="397">
        <f t="shared" si="21"/>
        <v>453.61452984779783</v>
      </c>
      <c r="O37" s="397">
        <f t="shared" si="22"/>
        <v>2237.0756563660575</v>
      </c>
      <c r="P37" s="397">
        <f t="shared" si="23"/>
        <v>668.2174038496014</v>
      </c>
      <c r="Q37" s="393"/>
    </row>
    <row r="38" spans="1:17" x14ac:dyDescent="0.3">
      <c r="A38" s="62"/>
      <c r="B38" s="101" t="s">
        <v>291</v>
      </c>
      <c r="C38" s="60" t="s">
        <v>292</v>
      </c>
      <c r="D38" s="60"/>
      <c r="E38" s="114"/>
      <c r="F38" s="115">
        <v>144.10370034125862</v>
      </c>
      <c r="G38" s="60">
        <v>269</v>
      </c>
      <c r="H38" s="104">
        <v>38763.895391798571</v>
      </c>
      <c r="I38" s="255">
        <f t="shared" si="19"/>
        <v>32711.539977465709</v>
      </c>
      <c r="J38" s="253">
        <f t="shared" si="15"/>
        <v>6052.355414332862</v>
      </c>
      <c r="K38" s="93">
        <f>'WBC OFFER 2022'!H37</f>
        <v>37697.068357287339</v>
      </c>
      <c r="M38" s="396">
        <f t="shared" si="20"/>
        <v>37592.101742103594</v>
      </c>
      <c r="N38" s="397">
        <f t="shared" si="21"/>
        <v>6955.3668421513248</v>
      </c>
      <c r="O38" s="397">
        <f t="shared" si="22"/>
        <v>34301.550809876288</v>
      </c>
      <c r="P38" s="397">
        <f t="shared" si="23"/>
        <v>10245.917774378633</v>
      </c>
      <c r="Q38" s="393"/>
    </row>
    <row r="39" spans="1:17" x14ac:dyDescent="0.3">
      <c r="A39" s="62"/>
      <c r="B39" s="101" t="s">
        <v>293</v>
      </c>
      <c r="C39" s="60" t="s">
        <v>294</v>
      </c>
      <c r="D39" s="60"/>
      <c r="E39" s="114"/>
      <c r="F39" s="115">
        <v>260.22729043576567</v>
      </c>
      <c r="G39" s="60">
        <v>42</v>
      </c>
      <c r="H39" s="104">
        <v>10929.546198302158</v>
      </c>
      <c r="I39" s="56">
        <f>H39*G$8*0%</f>
        <v>0</v>
      </c>
      <c r="J39" s="257">
        <f>H39-I39</f>
        <v>10929.546198302158</v>
      </c>
      <c r="K39" s="93">
        <f>'WBC OFFER 2022'!H38</f>
        <v>10375.686966708541</v>
      </c>
      <c r="M39" s="396">
        <f t="shared" si="20"/>
        <v>0</v>
      </c>
      <c r="N39" s="397">
        <f t="shared" si="21"/>
        <v>12560.234491088841</v>
      </c>
      <c r="O39" s="397">
        <f t="shared" si="22"/>
        <v>-5942.1871270937027</v>
      </c>
      <c r="P39" s="397">
        <f t="shared" si="23"/>
        <v>18502.421618182543</v>
      </c>
      <c r="Q39" s="393"/>
    </row>
    <row r="40" spans="1:17" x14ac:dyDescent="0.3">
      <c r="A40" s="62"/>
      <c r="B40" s="101"/>
      <c r="C40" s="60" t="s">
        <v>295</v>
      </c>
      <c r="D40" s="60"/>
      <c r="E40" s="114"/>
      <c r="F40" s="115">
        <v>4056.0007159526567</v>
      </c>
      <c r="G40" s="60">
        <v>2</v>
      </c>
      <c r="H40" s="104">
        <v>8112.0014319053134</v>
      </c>
      <c r="I40" s="56">
        <f>H40*G$8*0%</f>
        <v>0</v>
      </c>
      <c r="J40" s="253">
        <f>H40-I40</f>
        <v>8112.0014319053134</v>
      </c>
      <c r="K40" s="93">
        <f>'WBC OFFER 2022'!H39</f>
        <v>7888.749812219502</v>
      </c>
      <c r="M40" s="396">
        <f t="shared" si="20"/>
        <v>0</v>
      </c>
      <c r="N40" s="397">
        <f t="shared" si="21"/>
        <v>9322.3120455455864</v>
      </c>
      <c r="O40" s="397">
        <f t="shared" si="22"/>
        <v>-4410.3414367854984</v>
      </c>
      <c r="P40" s="397">
        <f t="shared" si="23"/>
        <v>13732.653482331085</v>
      </c>
      <c r="Q40" s="393"/>
    </row>
    <row r="41" spans="1:17" x14ac:dyDescent="0.3">
      <c r="A41" s="62"/>
      <c r="B41" s="101" t="s">
        <v>296</v>
      </c>
      <c r="C41" s="60" t="s">
        <v>297</v>
      </c>
      <c r="D41" s="60"/>
      <c r="E41" s="114"/>
      <c r="F41" s="115">
        <v>0</v>
      </c>
      <c r="G41" s="60">
        <v>42</v>
      </c>
      <c r="H41" s="104">
        <v>0</v>
      </c>
      <c r="I41" s="56">
        <f t="shared" si="19"/>
        <v>0</v>
      </c>
      <c r="J41" s="253">
        <f t="shared" si="15"/>
        <v>0</v>
      </c>
      <c r="K41" s="93">
        <f>'WBC OFFER 2022'!H40</f>
        <v>0</v>
      </c>
      <c r="M41" s="396">
        <f t="shared" si="20"/>
        <v>0</v>
      </c>
      <c r="N41" s="397">
        <f t="shared" si="21"/>
        <v>0</v>
      </c>
      <c r="O41" s="397">
        <f t="shared" si="22"/>
        <v>0</v>
      </c>
      <c r="P41" s="397">
        <f t="shared" si="23"/>
        <v>0</v>
      </c>
      <c r="Q41" s="393"/>
    </row>
    <row r="42" spans="1:17" x14ac:dyDescent="0.3">
      <c r="A42" s="62"/>
      <c r="B42" s="101" t="s">
        <v>296</v>
      </c>
      <c r="C42" s="60" t="s">
        <v>298</v>
      </c>
      <c r="D42" s="60"/>
      <c r="E42" s="114"/>
      <c r="F42" s="115">
        <v>15.828912682258792</v>
      </c>
      <c r="G42" s="60">
        <v>269</v>
      </c>
      <c r="H42" s="104">
        <v>4257.9775115276152</v>
      </c>
      <c r="I42" s="56">
        <f t="shared" si="19"/>
        <v>3593.1631788727464</v>
      </c>
      <c r="J42" s="253">
        <f t="shared" si="15"/>
        <v>664.81433265486885</v>
      </c>
      <c r="K42" s="93">
        <f>'WBC OFFER 2022'!H41</f>
        <v>4140.7930677113827</v>
      </c>
      <c r="M42" s="396">
        <f t="shared" si="20"/>
        <v>4129.2631251605599</v>
      </c>
      <c r="N42" s="397">
        <f t="shared" si="21"/>
        <v>764.00463108697534</v>
      </c>
      <c r="O42" s="397">
        <f t="shared" si="22"/>
        <v>3767.8161723106027</v>
      </c>
      <c r="P42" s="397">
        <f t="shared" si="23"/>
        <v>1125.4515839369328</v>
      </c>
      <c r="Q42" s="393"/>
    </row>
    <row r="43" spans="1:17" x14ac:dyDescent="0.3">
      <c r="A43" s="62"/>
      <c r="B43" s="101"/>
      <c r="C43" s="60" t="s">
        <v>299</v>
      </c>
      <c r="D43" s="60"/>
      <c r="E43" s="114"/>
      <c r="F43" s="115">
        <v>1.6298034531354655</v>
      </c>
      <c r="G43" s="60">
        <v>269</v>
      </c>
      <c r="H43" s="104">
        <v>438.41712889344024</v>
      </c>
      <c r="I43" s="56">
        <f t="shared" si="19"/>
        <v>369.96538386175069</v>
      </c>
      <c r="J43" s="253">
        <f t="shared" si="15"/>
        <v>68.451745031689541</v>
      </c>
      <c r="K43" s="93">
        <f>'WBC OFFER 2022'!H42</f>
        <v>426.35138470625327</v>
      </c>
      <c r="M43" s="396">
        <f t="shared" si="20"/>
        <v>425.16421913392389</v>
      </c>
      <c r="N43" s="397">
        <f t="shared" si="21"/>
        <v>78.664745390417622</v>
      </c>
      <c r="O43" s="397">
        <f t="shared" si="22"/>
        <v>387.94830268374295</v>
      </c>
      <c r="P43" s="397">
        <f t="shared" si="23"/>
        <v>115.88066184059856</v>
      </c>
      <c r="Q43" s="393"/>
    </row>
    <row r="44" spans="1:17" x14ac:dyDescent="0.3">
      <c r="A44" s="62"/>
      <c r="B44" s="101"/>
      <c r="C44" s="60" t="s">
        <v>300</v>
      </c>
      <c r="D44" s="60"/>
      <c r="E44" s="114"/>
      <c r="F44" s="115">
        <v>0</v>
      </c>
      <c r="G44" s="60">
        <v>269</v>
      </c>
      <c r="H44" s="104">
        <v>0</v>
      </c>
      <c r="I44" s="56">
        <f t="shared" si="19"/>
        <v>0</v>
      </c>
      <c r="J44" s="253">
        <f t="shared" si="15"/>
        <v>0</v>
      </c>
      <c r="K44" s="93">
        <f>'WBC OFFER 2022'!H43</f>
        <v>0</v>
      </c>
      <c r="M44" s="396">
        <f t="shared" si="20"/>
        <v>0</v>
      </c>
      <c r="N44" s="397">
        <f t="shared" si="21"/>
        <v>0</v>
      </c>
      <c r="O44" s="397">
        <f t="shared" si="22"/>
        <v>0</v>
      </c>
      <c r="P44" s="397">
        <f t="shared" si="23"/>
        <v>0</v>
      </c>
      <c r="Q44" s="393"/>
    </row>
    <row r="45" spans="1:17" x14ac:dyDescent="0.3">
      <c r="A45" s="62"/>
      <c r="B45" s="101" t="s">
        <v>301</v>
      </c>
      <c r="C45" s="60" t="s">
        <v>250</v>
      </c>
      <c r="D45" s="60"/>
      <c r="E45" s="114"/>
      <c r="F45" s="115">
        <v>23.651615174715126</v>
      </c>
      <c r="G45" s="60">
        <v>152</v>
      </c>
      <c r="H45" s="104">
        <v>3595.0455065566989</v>
      </c>
      <c r="I45" s="56">
        <f t="shared" ref="I45:I46" si="24">H45*G$8</f>
        <v>3033.7372862021216</v>
      </c>
      <c r="J45" s="257">
        <f t="shared" ref="J45:J46" si="25">H45-I45</f>
        <v>561.30822035457732</v>
      </c>
      <c r="K45" s="93">
        <f>'WBC OFFER 2022'!H44</f>
        <v>3496.105714827092</v>
      </c>
      <c r="M45" s="396">
        <f>I45*1.1492</f>
        <v>3486.3708893034782</v>
      </c>
      <c r="N45" s="397">
        <f t="shared" si="21"/>
        <v>645.05540683148024</v>
      </c>
      <c r="O45" s="397">
        <f t="shared" si="22"/>
        <v>3181.1982480239185</v>
      </c>
      <c r="P45" s="397">
        <f t="shared" si="23"/>
        <v>950.22804811104027</v>
      </c>
      <c r="Q45" s="393"/>
    </row>
    <row r="46" spans="1:17" x14ac:dyDescent="0.3">
      <c r="A46" s="62"/>
      <c r="B46" s="58"/>
      <c r="C46" s="60" t="s">
        <v>302</v>
      </c>
      <c r="D46" s="60"/>
      <c r="E46" s="114"/>
      <c r="F46" s="115">
        <v>0</v>
      </c>
      <c r="G46" s="60">
        <v>269</v>
      </c>
      <c r="H46" s="104">
        <v>0</v>
      </c>
      <c r="I46" s="56">
        <f t="shared" si="24"/>
        <v>0</v>
      </c>
      <c r="J46" s="253">
        <f t="shared" si="25"/>
        <v>0</v>
      </c>
      <c r="K46" s="93">
        <f>'WBC OFFER 2022'!H45</f>
        <v>0</v>
      </c>
      <c r="M46" s="396">
        <f t="shared" si="20"/>
        <v>0</v>
      </c>
      <c r="N46" s="397">
        <f t="shared" si="21"/>
        <v>0</v>
      </c>
      <c r="O46" s="397">
        <f t="shared" si="22"/>
        <v>0</v>
      </c>
      <c r="P46" s="397">
        <f t="shared" si="23"/>
        <v>0</v>
      </c>
      <c r="Q46" s="393"/>
    </row>
    <row r="47" spans="1:17" ht="15" thickBot="1" x14ac:dyDescent="0.35">
      <c r="A47" s="67"/>
      <c r="B47" s="68"/>
      <c r="C47" s="69"/>
      <c r="D47" s="69"/>
      <c r="E47" s="116" t="s">
        <v>223</v>
      </c>
      <c r="F47" s="117">
        <v>4825.0743408242251</v>
      </c>
      <c r="G47" s="70"/>
      <c r="H47" s="111">
        <v>153153.97261799657</v>
      </c>
      <c r="I47" s="382">
        <f>SUM(I32:I46)</f>
        <v>113172.93855846887</v>
      </c>
      <c r="J47" s="383">
        <f>SUM(J32:J46)</f>
        <v>39981.034059527701</v>
      </c>
      <c r="M47" s="400">
        <f>SUM(M32:M46)</f>
        <v>130058.34099139243</v>
      </c>
      <c r="N47" s="387">
        <f>SUM(N32:N46)</f>
        <v>45946.204341209232</v>
      </c>
      <c r="O47" s="386">
        <f>SUM(O32:O46)</f>
        <v>108321.41050901556</v>
      </c>
      <c r="P47" s="387">
        <f>SUM(P32:P46)</f>
        <v>67683.134823586093</v>
      </c>
      <c r="Q47" s="393"/>
    </row>
    <row r="48" spans="1:17" ht="15" thickTop="1" x14ac:dyDescent="0.3">
      <c r="A48" s="62"/>
      <c r="B48" s="58"/>
      <c r="C48" s="60"/>
      <c r="D48" s="60"/>
      <c r="E48" s="60"/>
      <c r="F48" s="60"/>
      <c r="G48" s="60"/>
      <c r="H48" s="104"/>
      <c r="I48" s="255">
        <f>I47-I38</f>
        <v>80461.398581003159</v>
      </c>
      <c r="J48" s="255">
        <f>J13-J39-J45</f>
        <v>12421.66175218287</v>
      </c>
      <c r="M48" s="394">
        <f>M47-M38</f>
        <v>92466.239249288832</v>
      </c>
      <c r="N48" s="395">
        <f>N13-N39-N45</f>
        <v>14274.973685608555</v>
      </c>
      <c r="O48" s="395">
        <f>O47-O38</f>
        <v>74019.859699139284</v>
      </c>
      <c r="P48" s="395">
        <f>P13-P39-P45</f>
        <v>21028.395760204796</v>
      </c>
      <c r="Q48" s="393"/>
    </row>
    <row r="49" spans="1:17" x14ac:dyDescent="0.3">
      <c r="A49" s="62"/>
      <c r="B49" s="58"/>
      <c r="C49" s="60"/>
      <c r="D49" s="60"/>
      <c r="E49" s="60"/>
      <c r="F49" s="60"/>
      <c r="G49" s="60"/>
      <c r="H49" s="104"/>
      <c r="I49" s="255">
        <f>I13-I48</f>
        <v>48780.057866153802</v>
      </c>
      <c r="J49" s="255"/>
      <c r="M49" s="394">
        <f>M13-M48</f>
        <v>56058.042499783944</v>
      </c>
      <c r="N49" s="395">
        <f t="shared" ref="N49:P49" si="26">N13-N48</f>
        <v>13205.28989792032</v>
      </c>
      <c r="O49" s="395">
        <f t="shared" si="26"/>
        <v>61503.640206963988</v>
      </c>
      <c r="P49" s="395">
        <f t="shared" si="26"/>
        <v>19452.649666293582</v>
      </c>
      <c r="Q49" s="393"/>
    </row>
    <row r="50" spans="1:17" x14ac:dyDescent="0.3">
      <c r="A50" s="97" t="s">
        <v>264</v>
      </c>
      <c r="B50" s="60"/>
      <c r="C50" s="60" t="s">
        <v>303</v>
      </c>
      <c r="D50" s="60"/>
      <c r="E50" s="118"/>
      <c r="F50" s="115">
        <v>6.8517865935065245</v>
      </c>
      <c r="G50" s="60">
        <v>269</v>
      </c>
      <c r="H50" s="119">
        <v>1843.1305936532551</v>
      </c>
      <c r="I50" s="56">
        <f t="shared" ref="I50" si="27">H50*G$8</f>
        <v>1555.3555567259812</v>
      </c>
      <c r="J50" s="253">
        <f t="shared" ref="J50" si="28">H50-I50</f>
        <v>287.77503692727396</v>
      </c>
      <c r="M50" s="396">
        <f>I50*1.1492</f>
        <v>1787.4146057894975</v>
      </c>
      <c r="N50" s="397">
        <f t="shared" ref="N50" si="29">J50*1.1492</f>
        <v>330.71107243682326</v>
      </c>
      <c r="O50" s="397">
        <f t="shared" ref="O50" si="30">M50+N50-P50</f>
        <v>1630.956772234267</v>
      </c>
      <c r="P50" s="397">
        <f t="shared" ref="P50" si="31">N50/$N$19*23%</f>
        <v>487.16890599205379</v>
      </c>
      <c r="Q50" s="393"/>
    </row>
    <row r="51" spans="1:17" x14ac:dyDescent="0.3">
      <c r="A51" s="97"/>
      <c r="B51" s="60"/>
      <c r="C51" s="60" t="s">
        <v>304</v>
      </c>
      <c r="D51" s="60"/>
      <c r="E51" s="118"/>
      <c r="F51" s="115">
        <v>2.079020470714239</v>
      </c>
      <c r="G51" s="60">
        <v>42</v>
      </c>
      <c r="H51" s="119">
        <v>87.318859769998042</v>
      </c>
      <c r="I51" s="56">
        <f>H51*G$8*0%</f>
        <v>0</v>
      </c>
      <c r="J51" s="253">
        <f>H51-I51</f>
        <v>87.318859769998042</v>
      </c>
      <c r="M51" s="396">
        <f>I51*1.1492</f>
        <v>0</v>
      </c>
      <c r="N51" s="397">
        <f t="shared" ref="N51" si="32">J51*1.1492</f>
        <v>100.34683364768175</v>
      </c>
      <c r="O51" s="397">
        <f t="shared" ref="O51" si="33">M51+N51-P51</f>
        <v>-47.473609156653268</v>
      </c>
      <c r="P51" s="397">
        <f t="shared" ref="P51" si="34">N51/$N$19*23%</f>
        <v>147.82044280433502</v>
      </c>
      <c r="Q51" s="393"/>
    </row>
    <row r="52" spans="1:17" ht="15" thickBot="1" x14ac:dyDescent="0.35">
      <c r="A52" s="120">
        <v>1.0283</v>
      </c>
      <c r="B52" s="68"/>
      <c r="C52" s="69"/>
      <c r="D52" s="69"/>
      <c r="E52" s="116"/>
      <c r="F52" s="121"/>
      <c r="G52" s="69"/>
      <c r="H52" s="122"/>
      <c r="I52" s="382">
        <f t="shared" ref="I52:J52" si="35">SUM(I50:I51)</f>
        <v>1555.3555567259812</v>
      </c>
      <c r="J52" s="383">
        <f t="shared" si="35"/>
        <v>375.09389669727199</v>
      </c>
      <c r="M52" s="401">
        <f t="shared" ref="M52:P52" si="36">SUM(M50:M51)</f>
        <v>1787.4146057894975</v>
      </c>
      <c r="N52" s="402">
        <f t="shared" si="36"/>
        <v>431.05790608450502</v>
      </c>
      <c r="O52" s="402">
        <f t="shared" si="36"/>
        <v>1583.4831630776137</v>
      </c>
      <c r="P52" s="402">
        <f t="shared" si="36"/>
        <v>634.98934879638887</v>
      </c>
      <c r="Q52" s="403"/>
    </row>
    <row r="53" spans="1:17" ht="15" thickTop="1" x14ac:dyDescent="0.3">
      <c r="A53" s="62"/>
      <c r="B53" s="58"/>
      <c r="C53" s="60"/>
      <c r="D53" s="60"/>
      <c r="E53" s="118"/>
      <c r="F53" s="115"/>
      <c r="G53" s="60"/>
      <c r="H53" s="119"/>
      <c r="J53" s="170"/>
    </row>
    <row r="54" spans="1:17" x14ac:dyDescent="0.3">
      <c r="A54" s="97" t="s">
        <v>262</v>
      </c>
      <c r="B54" s="58"/>
      <c r="C54" s="60"/>
      <c r="D54" s="60"/>
      <c r="E54" s="98" t="s">
        <v>305</v>
      </c>
      <c r="F54" s="123" t="s">
        <v>306</v>
      </c>
      <c r="G54" s="98" t="s">
        <v>307</v>
      </c>
      <c r="H54" s="113" t="s">
        <v>223</v>
      </c>
      <c r="J54" s="170"/>
    </row>
    <row r="55" spans="1:17" x14ac:dyDescent="0.3">
      <c r="A55" s="100">
        <v>1.0283</v>
      </c>
      <c r="B55" s="58"/>
      <c r="C55" s="60"/>
      <c r="D55" s="60"/>
      <c r="E55" s="102">
        <v>6948.6358457259721</v>
      </c>
      <c r="F55" s="115">
        <v>13.701342493790728</v>
      </c>
      <c r="G55" s="60">
        <v>269</v>
      </c>
      <c r="H55" s="119">
        <v>10634.296976555677</v>
      </c>
      <c r="I55" s="56">
        <f t="shared" ref="I55" si="37">H55*G$8</f>
        <v>8973.9234709224493</v>
      </c>
      <c r="J55" s="253">
        <f t="shared" ref="J55" si="38">H55-I55</f>
        <v>1660.373505633228</v>
      </c>
    </row>
    <row r="56" spans="1:17" ht="15" thickBot="1" x14ac:dyDescent="0.35">
      <c r="A56" s="67"/>
      <c r="B56" s="124"/>
      <c r="C56" s="69"/>
      <c r="D56" s="69"/>
      <c r="E56" s="69"/>
      <c r="F56" s="121"/>
      <c r="G56" s="69"/>
      <c r="H56" s="122"/>
      <c r="I56" s="170"/>
      <c r="J56" s="170"/>
    </row>
    <row r="57" spans="1:17" ht="15" thickTop="1" x14ac:dyDescent="0.3">
      <c r="A57" s="97" t="s">
        <v>266</v>
      </c>
      <c r="B57" s="101" t="s">
        <v>308</v>
      </c>
      <c r="C57" s="60"/>
      <c r="D57" s="60"/>
      <c r="E57" s="60"/>
      <c r="F57" s="115">
        <v>4.2934054564771662</v>
      </c>
      <c r="G57" s="60">
        <v>269</v>
      </c>
      <c r="H57" s="119">
        <v>1154.9260677923578</v>
      </c>
      <c r="I57" s="56">
        <f t="shared" ref="I57" si="39">H57*G$8</f>
        <v>974.60303862031685</v>
      </c>
      <c r="J57" s="253">
        <f t="shared" ref="J57" si="40">H57-I57</f>
        <v>180.32302917204095</v>
      </c>
    </row>
    <row r="58" spans="1:17" ht="15" thickBot="1" x14ac:dyDescent="0.35">
      <c r="A58" s="120">
        <v>1.0283</v>
      </c>
      <c r="B58" s="124"/>
      <c r="C58" s="69"/>
      <c r="D58" s="69"/>
      <c r="E58" s="69"/>
      <c r="F58" s="69"/>
      <c r="G58" s="69"/>
      <c r="H58" s="125"/>
    </row>
    <row r="59" spans="1:17" ht="15" thickTop="1" x14ac:dyDescent="0.3">
      <c r="A59" s="126"/>
      <c r="B59" s="127"/>
      <c r="C59" s="128"/>
      <c r="D59" s="128"/>
      <c r="E59" s="128"/>
      <c r="F59" s="128"/>
      <c r="G59" s="128"/>
      <c r="H59" s="129"/>
    </row>
    <row r="60" spans="1:17" x14ac:dyDescent="0.3">
      <c r="A60" s="130"/>
      <c r="B60" s="58"/>
      <c r="C60" s="60"/>
      <c r="D60" s="60"/>
      <c r="E60" s="60"/>
      <c r="F60" s="60"/>
      <c r="G60" s="60"/>
      <c r="H60" s="64"/>
    </row>
    <row r="61" spans="1:17" x14ac:dyDescent="0.3">
      <c r="A61" s="131"/>
      <c r="B61" s="58"/>
      <c r="C61" s="60"/>
      <c r="D61" s="60"/>
      <c r="E61" s="60"/>
      <c r="F61" s="132"/>
      <c r="G61" s="60"/>
      <c r="H61" s="64"/>
    </row>
    <row r="62" spans="1:17" x14ac:dyDescent="0.3">
      <c r="A62" s="133" t="s">
        <v>309</v>
      </c>
      <c r="B62" s="58"/>
      <c r="C62" s="60"/>
      <c r="D62" s="60"/>
      <c r="E62" s="60"/>
      <c r="F62" s="60"/>
      <c r="G62" s="60"/>
      <c r="H62" s="64"/>
    </row>
    <row r="63" spans="1:17" x14ac:dyDescent="0.3">
      <c r="A63" s="134" t="s">
        <v>310</v>
      </c>
      <c r="B63" s="58"/>
      <c r="C63" s="60"/>
      <c r="D63" s="60"/>
      <c r="E63" s="60"/>
      <c r="F63" s="60"/>
      <c r="G63" s="115"/>
      <c r="H63" s="64"/>
    </row>
    <row r="64" spans="1:17" x14ac:dyDescent="0.3">
      <c r="A64" s="134" t="s">
        <v>311</v>
      </c>
      <c r="B64" s="58"/>
      <c r="C64" s="60"/>
      <c r="D64" s="60"/>
      <c r="E64" s="60"/>
      <c r="F64" s="60"/>
      <c r="G64" s="115"/>
      <c r="H64" s="64"/>
    </row>
    <row r="65" spans="1:8" x14ac:dyDescent="0.3">
      <c r="A65" s="134" t="s">
        <v>312</v>
      </c>
      <c r="B65" s="58"/>
      <c r="C65" s="60"/>
      <c r="D65" s="60"/>
      <c r="E65" s="60"/>
      <c r="F65" s="60"/>
      <c r="G65" s="115"/>
      <c r="H65" s="64"/>
    </row>
    <row r="66" spans="1:8" x14ac:dyDescent="0.3">
      <c r="A66" s="134" t="s">
        <v>313</v>
      </c>
      <c r="B66" s="58"/>
      <c r="C66" s="60"/>
      <c r="D66" s="60"/>
      <c r="E66" s="60"/>
      <c r="F66" s="60"/>
      <c r="G66" s="115"/>
      <c r="H66" s="64"/>
    </row>
    <row r="67" spans="1:8" x14ac:dyDescent="0.3">
      <c r="A67" s="134" t="s">
        <v>314</v>
      </c>
      <c r="B67" s="58"/>
      <c r="C67" s="60"/>
      <c r="D67" s="60"/>
      <c r="E67" s="60"/>
      <c r="F67" s="60"/>
      <c r="G67" s="135"/>
      <c r="H67" s="64"/>
    </row>
    <row r="68" spans="1:8" x14ac:dyDescent="0.3">
      <c r="A68" s="136" t="s">
        <v>472</v>
      </c>
      <c r="B68" s="137" t="s">
        <v>316</v>
      </c>
      <c r="C68" s="60"/>
      <c r="D68" s="60"/>
      <c r="E68" s="60"/>
      <c r="F68" s="60"/>
      <c r="G68" s="60"/>
      <c r="H68" s="64"/>
    </row>
    <row r="69" spans="1:8" x14ac:dyDescent="0.3">
      <c r="A69" s="134" t="s">
        <v>317</v>
      </c>
      <c r="B69" s="138">
        <v>2.8299999999999999E-2</v>
      </c>
      <c r="C69" s="60"/>
      <c r="D69" s="60"/>
      <c r="E69" s="60"/>
      <c r="F69" s="60"/>
      <c r="G69" s="60"/>
      <c r="H69" s="64"/>
    </row>
    <row r="70" spans="1:8" x14ac:dyDescent="0.3">
      <c r="A70" s="134"/>
      <c r="B70" s="58"/>
      <c r="C70" s="60"/>
      <c r="D70" s="60"/>
      <c r="E70" s="60"/>
      <c r="F70" s="60"/>
      <c r="G70" s="60"/>
      <c r="H70" s="64"/>
    </row>
    <row r="71" spans="1:8" ht="18" x14ac:dyDescent="0.35">
      <c r="A71" s="416" t="s">
        <v>318</v>
      </c>
      <c r="B71" s="417"/>
      <c r="C71" s="417"/>
      <c r="D71" s="417"/>
      <c r="E71" s="417"/>
      <c r="F71" s="417"/>
      <c r="G71" s="417"/>
      <c r="H71" s="418"/>
    </row>
  </sheetData>
  <mergeCells count="3">
    <mergeCell ref="A1:H1"/>
    <mergeCell ref="A2:H2"/>
    <mergeCell ref="A71:H71"/>
  </mergeCells>
  <pageMargins left="0.7" right="0.7" top="0.75" bottom="0.75" header="0.3" footer="0.3"/>
  <headerFooter>
    <oddHeader>&amp;L&amp;"Calibri"&amp;10&amp;K000000 Official&amp;1#_x000D_</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AE7F5-E682-4090-B4B2-300BB515C9A9}">
  <dimension ref="A1:N69"/>
  <sheetViews>
    <sheetView topLeftCell="A25" workbookViewId="0">
      <selection activeCell="H37" sqref="H37"/>
    </sheetView>
  </sheetViews>
  <sheetFormatPr defaultRowHeight="14.4" x14ac:dyDescent="0.3"/>
  <cols>
    <col min="1" max="1" width="32.33203125" customWidth="1"/>
    <col min="2" max="2" width="10.44140625" customWidth="1"/>
    <col min="3" max="3" width="11.5546875" customWidth="1"/>
    <col min="4" max="4" width="8.5546875" customWidth="1"/>
    <col min="5" max="5" width="12.33203125" customWidth="1"/>
    <col min="6" max="6" width="13.44140625" bestFit="1" customWidth="1"/>
    <col min="7" max="7" width="14.109375" customWidth="1"/>
    <col min="8" max="8" width="16" bestFit="1" customWidth="1"/>
    <col min="9" max="9" width="11.33203125" style="56" bestFit="1" customWidth="1"/>
    <col min="10" max="11" width="0" style="56" hidden="1" customWidth="1"/>
    <col min="12" max="12" width="10.33203125" style="56" bestFit="1" customWidth="1"/>
    <col min="13" max="13" width="42.88671875" bestFit="1" customWidth="1"/>
    <col min="14" max="14" width="11.33203125" style="56" bestFit="1" customWidth="1"/>
  </cols>
  <sheetData>
    <row r="1" spans="1:14" ht="15.6" x14ac:dyDescent="0.3">
      <c r="A1" s="410" t="s">
        <v>247</v>
      </c>
      <c r="B1" s="411"/>
      <c r="C1" s="411"/>
      <c r="D1" s="411"/>
      <c r="E1" s="411"/>
      <c r="F1" s="411"/>
      <c r="G1" s="411"/>
      <c r="H1" s="412"/>
    </row>
    <row r="2" spans="1:14" ht="16.2" thickBot="1" x14ac:dyDescent="0.35">
      <c r="A2" s="413" t="s">
        <v>248</v>
      </c>
      <c r="B2" s="414"/>
      <c r="C2" s="414"/>
      <c r="D2" s="414"/>
      <c r="E2" s="414"/>
      <c r="F2" s="414"/>
      <c r="G2" s="414"/>
      <c r="H2" s="415"/>
    </row>
    <row r="3" spans="1:14" ht="15.6" x14ac:dyDescent="0.3">
      <c r="A3" s="57"/>
      <c r="B3" s="58"/>
      <c r="C3" s="59"/>
      <c r="D3" s="60"/>
      <c r="E3" s="60"/>
      <c r="F3" s="60"/>
      <c r="G3" s="60"/>
      <c r="H3" s="61"/>
    </row>
    <row r="4" spans="1:14" x14ac:dyDescent="0.3">
      <c r="A4" s="62"/>
      <c r="B4" s="58"/>
      <c r="C4" s="60"/>
      <c r="D4" s="60"/>
      <c r="E4" s="63" t="s">
        <v>249</v>
      </c>
      <c r="F4" s="63" t="s">
        <v>250</v>
      </c>
      <c r="G4" s="60"/>
      <c r="H4" s="64"/>
    </row>
    <row r="5" spans="1:14" x14ac:dyDescent="0.3">
      <c r="A5" s="57"/>
      <c r="B5" s="58"/>
      <c r="C5" s="60"/>
      <c r="D5" s="60"/>
      <c r="E5" s="63"/>
      <c r="F5" s="63"/>
      <c r="G5" s="60"/>
      <c r="H5" s="65" t="s">
        <v>251</v>
      </c>
    </row>
    <row r="6" spans="1:14" x14ac:dyDescent="0.3">
      <c r="A6" s="62"/>
      <c r="B6" s="58"/>
      <c r="C6" s="60"/>
      <c r="D6" s="60"/>
      <c r="E6" s="60"/>
      <c r="F6" s="60"/>
      <c r="G6" s="60"/>
      <c r="H6" s="66" t="s">
        <v>252</v>
      </c>
    </row>
    <row r="7" spans="1:14" x14ac:dyDescent="0.3">
      <c r="A7" s="62"/>
      <c r="B7" s="58"/>
      <c r="C7" s="60" t="s">
        <v>253</v>
      </c>
      <c r="D7" s="60"/>
      <c r="E7" s="60">
        <v>41</v>
      </c>
      <c r="F7" s="60"/>
      <c r="G7" s="60"/>
      <c r="H7" s="64"/>
    </row>
    <row r="8" spans="1:14" x14ac:dyDescent="0.3">
      <c r="A8" s="62"/>
      <c r="B8" s="58"/>
      <c r="C8" s="60" t="s">
        <v>254</v>
      </c>
      <c r="D8" s="60"/>
      <c r="E8" s="60">
        <v>228</v>
      </c>
      <c r="F8" s="60"/>
      <c r="G8" s="60"/>
      <c r="H8" s="64"/>
    </row>
    <row r="9" spans="1:14" ht="15" thickBot="1" x14ac:dyDescent="0.35">
      <c r="A9" s="67"/>
      <c r="B9" s="68"/>
      <c r="C9" s="69"/>
      <c r="D9" s="69"/>
      <c r="E9" s="70">
        <v>269</v>
      </c>
      <c r="F9" s="70">
        <v>152</v>
      </c>
      <c r="G9" s="69"/>
      <c r="H9" s="71"/>
    </row>
    <row r="10" spans="1:14" ht="15" thickTop="1" x14ac:dyDescent="0.3">
      <c r="A10" s="57"/>
      <c r="B10" s="72"/>
      <c r="C10" s="60"/>
      <c r="D10" s="60"/>
      <c r="E10" s="60"/>
      <c r="F10" s="60"/>
      <c r="G10" s="60"/>
      <c r="H10" s="64"/>
    </row>
    <row r="11" spans="1:14" x14ac:dyDescent="0.3">
      <c r="A11" s="97" t="s">
        <v>255</v>
      </c>
      <c r="B11" s="58"/>
      <c r="C11" s="73"/>
      <c r="D11" s="74"/>
      <c r="E11" s="75"/>
      <c r="F11" s="76" t="s">
        <v>256</v>
      </c>
      <c r="G11" s="77"/>
      <c r="H11" s="78"/>
      <c r="I11" s="56" t="s">
        <v>591</v>
      </c>
      <c r="L11" s="56" t="s">
        <v>592</v>
      </c>
    </row>
    <row r="12" spans="1:14" ht="15.6" x14ac:dyDescent="0.3">
      <c r="A12" s="165" t="s">
        <v>257</v>
      </c>
      <c r="C12" s="80" t="s">
        <v>258</v>
      </c>
      <c r="D12" s="81"/>
      <c r="E12" s="82"/>
      <c r="F12" s="260">
        <v>93357.487473626985</v>
      </c>
      <c r="G12" s="83">
        <v>23339.371868406746</v>
      </c>
      <c r="H12" s="236">
        <f>G12/F12</f>
        <v>0.25</v>
      </c>
      <c r="M12" t="s">
        <v>111</v>
      </c>
      <c r="N12" s="56">
        <v>45501.486900000004</v>
      </c>
    </row>
    <row r="13" spans="1:14" ht="15.6" x14ac:dyDescent="0.3">
      <c r="A13" s="79" t="s">
        <v>259</v>
      </c>
      <c r="B13" s="84"/>
      <c r="C13" s="80" t="s">
        <v>260</v>
      </c>
      <c r="D13" s="85"/>
      <c r="E13" s="82"/>
      <c r="F13" s="260">
        <v>148685.93341200118</v>
      </c>
      <c r="G13" s="83">
        <v>37171.483353000294</v>
      </c>
      <c r="H13" s="236">
        <f t="shared" ref="H13:H18" si="0">G13/F13</f>
        <v>0.25</v>
      </c>
      <c r="M13" t="s">
        <v>230</v>
      </c>
      <c r="N13" s="56">
        <v>17000.658095999999</v>
      </c>
    </row>
    <row r="14" spans="1:14" ht="15.6" x14ac:dyDescent="0.3">
      <c r="A14" s="79" t="s">
        <v>261</v>
      </c>
      <c r="B14" s="86"/>
      <c r="C14" s="80" t="s">
        <v>262</v>
      </c>
      <c r="D14" s="82"/>
      <c r="E14" s="82"/>
      <c r="F14" s="260">
        <v>10341.628879272273</v>
      </c>
      <c r="G14" s="83">
        <v>2585.4072198180684</v>
      </c>
      <c r="H14" s="236">
        <f t="shared" si="0"/>
        <v>0.25</v>
      </c>
      <c r="M14" t="s">
        <v>112</v>
      </c>
      <c r="N14" s="56">
        <v>14441.150160000001</v>
      </c>
    </row>
    <row r="15" spans="1:14" ht="15.6" x14ac:dyDescent="0.3">
      <c r="A15" s="79" t="s">
        <v>263</v>
      </c>
      <c r="B15" s="86"/>
      <c r="C15" s="80" t="s">
        <v>264</v>
      </c>
      <c r="D15" s="82"/>
      <c r="E15" s="82"/>
      <c r="F15" s="260">
        <v>1875.2994582831263</v>
      </c>
      <c r="G15" s="83">
        <v>468.82486457078159</v>
      </c>
      <c r="H15" s="236">
        <f t="shared" si="0"/>
        <v>0.25</v>
      </c>
      <c r="M15" t="s">
        <v>113</v>
      </c>
      <c r="N15" s="56">
        <v>19925.612856</v>
      </c>
    </row>
    <row r="16" spans="1:14" ht="15.6" x14ac:dyDescent="0.3">
      <c r="A16" s="79" t="s">
        <v>265</v>
      </c>
      <c r="B16" s="86"/>
      <c r="C16" s="80" t="s">
        <v>266</v>
      </c>
      <c r="D16" s="82"/>
      <c r="E16" s="82"/>
      <c r="F16" s="260">
        <v>1123.1411726075637</v>
      </c>
      <c r="G16" s="83">
        <v>280.78529315189093</v>
      </c>
      <c r="H16" s="236">
        <f t="shared" si="0"/>
        <v>0.25</v>
      </c>
      <c r="N16" s="56">
        <v>96868.908012</v>
      </c>
    </row>
    <row r="17" spans="1:14" ht="15.6" x14ac:dyDescent="0.3">
      <c r="A17" s="87"/>
      <c r="B17" s="86"/>
      <c r="C17" s="80"/>
      <c r="D17" s="82"/>
      <c r="E17" s="82"/>
      <c r="F17" s="88"/>
      <c r="G17" s="83">
        <v>0</v>
      </c>
      <c r="H17" s="236"/>
      <c r="N17" s="56">
        <v>93357.487473626985</v>
      </c>
    </row>
    <row r="18" spans="1:14" ht="15.6" x14ac:dyDescent="0.3">
      <c r="A18" s="87"/>
      <c r="B18" s="86"/>
      <c r="C18" s="89"/>
      <c r="D18" s="90"/>
      <c r="E18" s="91"/>
      <c r="F18" s="92">
        <v>255383.4903957911</v>
      </c>
      <c r="G18" s="83">
        <v>63845.872598947775</v>
      </c>
      <c r="H18" s="236">
        <f t="shared" si="0"/>
        <v>0.25</v>
      </c>
      <c r="J18" s="56">
        <v>264258</v>
      </c>
      <c r="K18" s="56">
        <v>-8874.509604208899</v>
      </c>
      <c r="M18" t="s">
        <v>258</v>
      </c>
      <c r="N18" s="56">
        <v>3511.420538373015</v>
      </c>
    </row>
    <row r="19" spans="1:14" x14ac:dyDescent="0.3">
      <c r="A19" s="57"/>
      <c r="B19" s="72"/>
      <c r="C19" s="60"/>
      <c r="D19" s="60"/>
      <c r="E19" s="60"/>
      <c r="F19" s="94"/>
      <c r="G19" s="95">
        <v>76615.047118737333</v>
      </c>
      <c r="H19" s="64"/>
      <c r="M19" s="96" t="s">
        <v>267</v>
      </c>
      <c r="N19" s="56">
        <v>89846.06693525397</v>
      </c>
    </row>
    <row r="20" spans="1:14" x14ac:dyDescent="0.3">
      <c r="A20" s="97" t="s">
        <v>268</v>
      </c>
      <c r="B20" s="72"/>
      <c r="C20" s="60"/>
      <c r="D20" s="60"/>
      <c r="E20" s="60"/>
      <c r="F20" s="98" t="s">
        <v>269</v>
      </c>
      <c r="G20" s="98" t="s">
        <v>270</v>
      </c>
      <c r="H20" s="99" t="s">
        <v>223</v>
      </c>
    </row>
    <row r="21" spans="1:14" x14ac:dyDescent="0.3">
      <c r="A21" s="100">
        <v>1.0159</v>
      </c>
      <c r="B21" s="72"/>
      <c r="C21" s="60"/>
      <c r="D21" s="60"/>
      <c r="E21" s="63"/>
      <c r="F21" s="98" t="s">
        <v>271</v>
      </c>
      <c r="G21" s="98"/>
      <c r="H21" s="99"/>
    </row>
    <row r="22" spans="1:14" x14ac:dyDescent="0.3">
      <c r="A22" s="62" t="s">
        <v>272</v>
      </c>
      <c r="B22" s="101" t="s">
        <v>273</v>
      </c>
      <c r="C22" s="60" t="s">
        <v>274</v>
      </c>
      <c r="D22" s="60"/>
      <c r="E22" s="102"/>
      <c r="F22" s="103">
        <v>36.303580669200009</v>
      </c>
      <c r="G22" s="60">
        <v>41</v>
      </c>
      <c r="H22" s="104">
        <v>1488.4468074372003</v>
      </c>
      <c r="L22" s="56">
        <v>1488.4468074372003</v>
      </c>
      <c r="M22" s="96" t="s">
        <v>275</v>
      </c>
      <c r="N22" s="105">
        <v>36400</v>
      </c>
    </row>
    <row r="23" spans="1:14" x14ac:dyDescent="0.3">
      <c r="A23" s="62"/>
      <c r="B23" s="101" t="s">
        <v>273</v>
      </c>
      <c r="C23" s="60" t="s">
        <v>276</v>
      </c>
      <c r="D23" s="60"/>
      <c r="E23" s="102"/>
      <c r="F23" s="103">
        <v>63.36568669629736</v>
      </c>
      <c r="G23" s="60">
        <v>228</v>
      </c>
      <c r="H23" s="104">
        <v>14447.376566755798</v>
      </c>
      <c r="M23" t="s">
        <v>285</v>
      </c>
      <c r="N23" s="106">
        <v>38120.557246385128</v>
      </c>
    </row>
    <row r="24" spans="1:14" x14ac:dyDescent="0.3">
      <c r="A24" s="62"/>
      <c r="B24" s="101" t="s">
        <v>273</v>
      </c>
      <c r="C24" s="60" t="s">
        <v>277</v>
      </c>
      <c r="D24" s="60"/>
      <c r="E24" s="102"/>
      <c r="F24" s="103">
        <v>74.426363869362916</v>
      </c>
      <c r="G24" s="60">
        <v>269</v>
      </c>
      <c r="H24" s="104">
        <v>20020.691880858623</v>
      </c>
      <c r="L24" s="56">
        <v>20020.691880858623</v>
      </c>
      <c r="M24" s="96" t="s">
        <v>267</v>
      </c>
      <c r="N24" s="56">
        <v>-1720.5572463851277</v>
      </c>
    </row>
    <row r="25" spans="1:14" x14ac:dyDescent="0.3">
      <c r="A25" s="62"/>
      <c r="B25" s="101" t="s">
        <v>273</v>
      </c>
      <c r="C25" s="60" t="s">
        <v>278</v>
      </c>
      <c r="D25" s="60"/>
      <c r="E25" s="102"/>
      <c r="F25" s="103">
        <v>53.759777304026549</v>
      </c>
      <c r="G25" s="60">
        <v>269</v>
      </c>
      <c r="H25" s="104">
        <v>14461.380094783142</v>
      </c>
    </row>
    <row r="26" spans="1:14" x14ac:dyDescent="0.3">
      <c r="A26" s="62"/>
      <c r="B26" s="101" t="s">
        <v>273</v>
      </c>
      <c r="C26" s="60" t="s">
        <v>279</v>
      </c>
      <c r="D26" s="60"/>
      <c r="E26" s="102"/>
      <c r="F26" s="103">
        <v>153.33918715430673</v>
      </c>
      <c r="G26" s="60">
        <v>269</v>
      </c>
      <c r="H26" s="104">
        <v>41248.241344508511</v>
      </c>
      <c r="N26" s="56">
        <v>110565.37616561605</v>
      </c>
    </row>
    <row r="27" spans="1:14" x14ac:dyDescent="0.3">
      <c r="A27" s="62"/>
      <c r="B27" s="101" t="s">
        <v>273</v>
      </c>
      <c r="C27" s="107" t="s">
        <v>280</v>
      </c>
      <c r="D27" s="107"/>
      <c r="E27" s="108"/>
      <c r="F27" s="103">
        <v>11.127307758445488</v>
      </c>
      <c r="G27" s="109">
        <v>152</v>
      </c>
      <c r="H27" s="104">
        <v>1691.3507792837142</v>
      </c>
      <c r="I27" s="56" t="s">
        <v>591</v>
      </c>
      <c r="L27" s="56" t="s">
        <v>592</v>
      </c>
    </row>
    <row r="28" spans="1:14" ht="15" thickBot="1" x14ac:dyDescent="0.35">
      <c r="A28" s="67"/>
      <c r="B28" s="68"/>
      <c r="C28" s="69"/>
      <c r="D28" s="69"/>
      <c r="E28" s="69"/>
      <c r="F28" s="110">
        <v>392.32190345163912</v>
      </c>
      <c r="G28" s="70"/>
      <c r="H28" s="111">
        <v>93357.487473626985</v>
      </c>
      <c r="I28" s="262">
        <f>H28-L28</f>
        <v>71848.348785331153</v>
      </c>
      <c r="J28" s="261"/>
      <c r="K28" s="261"/>
      <c r="L28" s="262">
        <f>SUM(L22:L27)</f>
        <v>21509.138688295825</v>
      </c>
    </row>
    <row r="29" spans="1:14" ht="15" thickTop="1" x14ac:dyDescent="0.3">
      <c r="A29" s="62"/>
      <c r="B29" s="58"/>
      <c r="C29" s="60"/>
      <c r="D29" s="60"/>
      <c r="E29" s="63"/>
      <c r="F29" s="63"/>
      <c r="G29" s="63"/>
      <c r="H29" s="104"/>
    </row>
    <row r="30" spans="1:14" x14ac:dyDescent="0.3">
      <c r="A30" s="97" t="s">
        <v>281</v>
      </c>
      <c r="B30" s="72"/>
      <c r="C30" s="60"/>
      <c r="D30" s="60"/>
      <c r="E30" s="112"/>
      <c r="F30" s="98" t="s">
        <v>271</v>
      </c>
      <c r="G30" s="98" t="s">
        <v>270</v>
      </c>
      <c r="H30" s="113" t="s">
        <v>223</v>
      </c>
    </row>
    <row r="31" spans="1:14" x14ac:dyDescent="0.3">
      <c r="A31" s="100">
        <v>1.0159</v>
      </c>
      <c r="B31" s="101" t="s">
        <v>282</v>
      </c>
      <c r="C31" s="60" t="s">
        <v>283</v>
      </c>
      <c r="D31" s="60"/>
      <c r="E31" s="114"/>
      <c r="F31" s="115">
        <v>16.552590817489939</v>
      </c>
      <c r="G31" s="60">
        <v>269</v>
      </c>
      <c r="H31" s="104">
        <v>4452.646929904794</v>
      </c>
      <c r="I31" s="56">
        <f>H31-L31</f>
        <v>3740.2234211200271</v>
      </c>
      <c r="L31" s="56">
        <f>H31*16%</f>
        <v>712.42350878476702</v>
      </c>
    </row>
    <row r="32" spans="1:14" x14ac:dyDescent="0.3">
      <c r="A32" s="100"/>
      <c r="B32" s="101"/>
      <c r="C32" s="60" t="s">
        <v>284</v>
      </c>
      <c r="D32" s="60"/>
      <c r="E32" s="114"/>
      <c r="F32" s="115">
        <v>0</v>
      </c>
      <c r="G32" s="60">
        <v>269</v>
      </c>
      <c r="H32" s="104">
        <v>0</v>
      </c>
      <c r="I32" s="56">
        <f t="shared" ref="I32:I45" si="1">H32-L32</f>
        <v>0</v>
      </c>
      <c r="L32" s="56">
        <f t="shared" ref="L32:L37" si="2">H32*16%</f>
        <v>0</v>
      </c>
    </row>
    <row r="33" spans="1:13" x14ac:dyDescent="0.3">
      <c r="A33" s="62" t="s">
        <v>272</v>
      </c>
      <c r="B33" s="58"/>
      <c r="C33" s="60" t="s">
        <v>285</v>
      </c>
      <c r="D33" s="60"/>
      <c r="E33" s="114"/>
      <c r="F33" s="115">
        <v>141.71210872262128</v>
      </c>
      <c r="G33" s="60">
        <v>269</v>
      </c>
      <c r="H33" s="104">
        <v>38120.557246385128</v>
      </c>
      <c r="I33" s="56">
        <f t="shared" si="1"/>
        <v>32021.268086963508</v>
      </c>
      <c r="L33" s="56">
        <f t="shared" si="2"/>
        <v>6099.2891594216208</v>
      </c>
    </row>
    <row r="34" spans="1:13" x14ac:dyDescent="0.3">
      <c r="A34" s="62"/>
      <c r="B34" s="58"/>
      <c r="C34" s="60" t="s">
        <v>286</v>
      </c>
      <c r="D34" s="60"/>
      <c r="E34" s="114"/>
      <c r="F34" s="115">
        <v>1.6730384734018016</v>
      </c>
      <c r="G34" s="60">
        <v>269</v>
      </c>
      <c r="H34" s="104">
        <v>450.04734934508463</v>
      </c>
      <c r="I34" s="56">
        <f t="shared" si="1"/>
        <v>378.03977344987106</v>
      </c>
      <c r="L34" s="56">
        <f t="shared" si="2"/>
        <v>72.007575895213549</v>
      </c>
    </row>
    <row r="35" spans="1:13" x14ac:dyDescent="0.3">
      <c r="A35" s="62"/>
      <c r="B35" s="101" t="s">
        <v>287</v>
      </c>
      <c r="C35" s="60" t="s">
        <v>288</v>
      </c>
      <c r="D35" s="60"/>
      <c r="E35" s="114"/>
      <c r="F35" s="115">
        <v>145.64833586860814</v>
      </c>
      <c r="G35" s="60">
        <v>269</v>
      </c>
      <c r="H35" s="104">
        <v>39179.402348655589</v>
      </c>
      <c r="I35" s="56">
        <f t="shared" si="1"/>
        <v>32910.697972870694</v>
      </c>
      <c r="L35" s="56">
        <f t="shared" si="2"/>
        <v>6268.7043757848942</v>
      </c>
    </row>
    <row r="36" spans="1:13" x14ac:dyDescent="0.3">
      <c r="A36" s="62"/>
      <c r="B36" s="101" t="s">
        <v>289</v>
      </c>
      <c r="C36" s="60" t="s">
        <v>290</v>
      </c>
      <c r="D36" s="60"/>
      <c r="E36" s="114"/>
      <c r="F36" s="115">
        <v>9.1394952946114145</v>
      </c>
      <c r="G36" s="60">
        <v>269</v>
      </c>
      <c r="H36" s="104">
        <v>2458.5242342504707</v>
      </c>
      <c r="I36" s="56">
        <f t="shared" si="1"/>
        <v>2065.1603567703955</v>
      </c>
      <c r="L36" s="56">
        <f t="shared" si="2"/>
        <v>393.3638774800753</v>
      </c>
    </row>
    <row r="37" spans="1:13" x14ac:dyDescent="0.3">
      <c r="A37" s="62"/>
      <c r="B37" s="101" t="s">
        <v>291</v>
      </c>
      <c r="C37" s="60" t="s">
        <v>292</v>
      </c>
      <c r="D37" s="60"/>
      <c r="E37" s="114"/>
      <c r="F37" s="115">
        <v>140.1378005847113</v>
      </c>
      <c r="G37" s="60">
        <v>269</v>
      </c>
      <c r="H37" s="104">
        <v>37697.068357287339</v>
      </c>
      <c r="I37" s="266">
        <f t="shared" si="1"/>
        <v>31665.537420121364</v>
      </c>
      <c r="L37" s="56">
        <f t="shared" si="2"/>
        <v>6031.5309371659741</v>
      </c>
      <c r="M37" s="93">
        <v>179.43677892804408</v>
      </c>
    </row>
    <row r="38" spans="1:13" x14ac:dyDescent="0.3">
      <c r="A38" s="62"/>
      <c r="B38" s="101" t="s">
        <v>293</v>
      </c>
      <c r="C38" s="60" t="s">
        <v>294</v>
      </c>
      <c r="D38" s="60"/>
      <c r="E38" s="114"/>
      <c r="F38" s="115">
        <v>253.06553577337905</v>
      </c>
      <c r="G38" s="60">
        <v>41</v>
      </c>
      <c r="H38" s="104">
        <v>10375.686966708541</v>
      </c>
      <c r="I38" s="56">
        <f t="shared" si="1"/>
        <v>0</v>
      </c>
      <c r="L38" s="264">
        <f>H38</f>
        <v>10375.686966708541</v>
      </c>
    </row>
    <row r="39" spans="1:13" x14ac:dyDescent="0.3">
      <c r="A39" s="62"/>
      <c r="B39" s="101"/>
      <c r="C39" s="60" t="s">
        <v>295</v>
      </c>
      <c r="D39" s="60"/>
      <c r="E39" s="114"/>
      <c r="F39" s="115">
        <v>3944.374906109751</v>
      </c>
      <c r="G39" s="60">
        <v>2</v>
      </c>
      <c r="H39" s="104">
        <v>7888.749812219502</v>
      </c>
      <c r="I39" s="56">
        <f t="shared" si="1"/>
        <v>0</v>
      </c>
      <c r="L39" s="265">
        <f>H39</f>
        <v>7888.749812219502</v>
      </c>
    </row>
    <row r="40" spans="1:13" x14ac:dyDescent="0.3">
      <c r="A40" s="62"/>
      <c r="B40" s="101" t="s">
        <v>296</v>
      </c>
      <c r="C40" s="60" t="s">
        <v>297</v>
      </c>
      <c r="D40" s="60"/>
      <c r="E40" s="114"/>
      <c r="F40" s="115">
        <v>0</v>
      </c>
      <c r="G40" s="60">
        <v>41</v>
      </c>
      <c r="H40" s="104">
        <v>0</v>
      </c>
      <c r="I40" s="56">
        <f t="shared" si="1"/>
        <v>0</v>
      </c>
      <c r="L40" s="56">
        <f t="shared" ref="L40:L45" si="3">H40*16%</f>
        <v>0</v>
      </c>
    </row>
    <row r="41" spans="1:13" x14ac:dyDescent="0.3">
      <c r="A41" s="62"/>
      <c r="B41" s="101" t="s">
        <v>296</v>
      </c>
      <c r="C41" s="60" t="s">
        <v>298</v>
      </c>
      <c r="D41" s="60"/>
      <c r="E41" s="114"/>
      <c r="F41" s="115">
        <v>15.39328277959622</v>
      </c>
      <c r="G41" s="60">
        <v>269</v>
      </c>
      <c r="H41" s="104">
        <v>4140.7930677113827</v>
      </c>
      <c r="I41" s="56">
        <f t="shared" si="1"/>
        <v>3478.2661768775615</v>
      </c>
      <c r="L41" s="56">
        <f t="shared" si="3"/>
        <v>662.5268908338212</v>
      </c>
    </row>
    <row r="42" spans="1:13" x14ac:dyDescent="0.3">
      <c r="A42" s="62"/>
      <c r="B42" s="101"/>
      <c r="C42" s="60" t="s">
        <v>299</v>
      </c>
      <c r="D42" s="60"/>
      <c r="E42" s="114"/>
      <c r="F42" s="115">
        <v>1.5849493855251051</v>
      </c>
      <c r="G42" s="60">
        <v>269</v>
      </c>
      <c r="H42" s="104">
        <v>426.35138470625327</v>
      </c>
      <c r="I42" s="56">
        <f t="shared" si="1"/>
        <v>358.13516315325273</v>
      </c>
      <c r="L42" s="56">
        <f t="shared" si="3"/>
        <v>68.216221553000523</v>
      </c>
    </row>
    <row r="43" spans="1:13" x14ac:dyDescent="0.3">
      <c r="A43" s="62"/>
      <c r="B43" s="101"/>
      <c r="C43" s="60" t="s">
        <v>300</v>
      </c>
      <c r="D43" s="60"/>
      <c r="E43" s="114"/>
      <c r="F43" s="115">
        <v>0</v>
      </c>
      <c r="G43" s="60">
        <v>269</v>
      </c>
      <c r="H43" s="104">
        <v>0</v>
      </c>
      <c r="I43" s="56">
        <f t="shared" si="1"/>
        <v>0</v>
      </c>
      <c r="L43" s="56">
        <f t="shared" si="3"/>
        <v>0</v>
      </c>
    </row>
    <row r="44" spans="1:13" x14ac:dyDescent="0.3">
      <c r="A44" s="62"/>
      <c r="B44" s="101" t="s">
        <v>301</v>
      </c>
      <c r="C44" s="60" t="s">
        <v>250</v>
      </c>
      <c r="D44" s="60"/>
      <c r="E44" s="114"/>
      <c r="F44" s="115">
        <v>23.000695492283501</v>
      </c>
      <c r="G44" s="60">
        <v>152</v>
      </c>
      <c r="H44" s="104">
        <v>3496.105714827092</v>
      </c>
      <c r="I44" s="56">
        <f t="shared" si="1"/>
        <v>2936.7288004547572</v>
      </c>
      <c r="L44" s="56">
        <f t="shared" si="3"/>
        <v>559.37691437233468</v>
      </c>
    </row>
    <row r="45" spans="1:13" x14ac:dyDescent="0.3">
      <c r="A45" s="62"/>
      <c r="B45" s="58"/>
      <c r="C45" s="60" t="s">
        <v>302</v>
      </c>
      <c r="D45" s="60"/>
      <c r="E45" s="114"/>
      <c r="F45" s="115">
        <v>0</v>
      </c>
      <c r="G45" s="60">
        <v>269</v>
      </c>
      <c r="H45" s="104">
        <v>0</v>
      </c>
      <c r="I45" s="56">
        <f t="shared" si="1"/>
        <v>0</v>
      </c>
      <c r="L45" s="56">
        <f t="shared" si="3"/>
        <v>0</v>
      </c>
    </row>
    <row r="46" spans="1:13" ht="15" thickBot="1" x14ac:dyDescent="0.35">
      <c r="A46" s="67"/>
      <c r="B46" s="68"/>
      <c r="C46" s="69"/>
      <c r="D46" s="69"/>
      <c r="E46" s="116" t="s">
        <v>223</v>
      </c>
      <c r="F46" s="117">
        <v>4692.2827393019788</v>
      </c>
      <c r="G46" s="70"/>
      <c r="H46" s="111">
        <v>148685.93341200118</v>
      </c>
      <c r="I46" s="263">
        <f>H46-L46</f>
        <v>109554.05717178143</v>
      </c>
      <c r="J46" s="262">
        <f t="shared" ref="J46:K46" si="4">SUM(J31:J45)</f>
        <v>0</v>
      </c>
      <c r="K46" s="262">
        <f t="shared" si="4"/>
        <v>0</v>
      </c>
      <c r="L46" s="262">
        <f>SUM(L31:L45)</f>
        <v>39131.876240219739</v>
      </c>
    </row>
    <row r="47" spans="1:13" ht="15" thickTop="1" x14ac:dyDescent="0.3">
      <c r="A47" s="62"/>
      <c r="B47" s="58"/>
      <c r="C47" s="60"/>
      <c r="D47" s="60"/>
      <c r="E47" s="60"/>
      <c r="F47" s="60"/>
      <c r="G47" s="60"/>
      <c r="H47" s="104"/>
    </row>
    <row r="48" spans="1:13" x14ac:dyDescent="0.3">
      <c r="A48" s="97" t="s">
        <v>264</v>
      </c>
      <c r="B48" s="60"/>
      <c r="C48" s="60" t="s">
        <v>303</v>
      </c>
      <c r="D48" s="60"/>
      <c r="E48" s="118"/>
      <c r="F48" s="115">
        <v>6.6632175372036606</v>
      </c>
      <c r="G48" s="60">
        <v>269</v>
      </c>
      <c r="H48" s="119">
        <v>1792.4055175077847</v>
      </c>
      <c r="I48" s="56">
        <f>H48-L48</f>
        <v>1505.620634706539</v>
      </c>
      <c r="L48" s="56">
        <f>H48*16%</f>
        <v>286.78488280124554</v>
      </c>
    </row>
    <row r="49" spans="1:12" x14ac:dyDescent="0.3">
      <c r="A49" s="97"/>
      <c r="B49" s="60"/>
      <c r="C49" s="60" t="s">
        <v>304</v>
      </c>
      <c r="D49" s="60"/>
      <c r="E49" s="118"/>
      <c r="F49" s="115">
        <v>2.021803433544918</v>
      </c>
      <c r="G49" s="60">
        <v>41</v>
      </c>
      <c r="H49" s="119">
        <v>82.893940775341633</v>
      </c>
      <c r="I49" s="56">
        <f>H49-L49</f>
        <v>69.630910251286977</v>
      </c>
      <c r="L49" s="56">
        <f>H49*16%</f>
        <v>13.263030524054662</v>
      </c>
    </row>
    <row r="50" spans="1:12" ht="15" thickBot="1" x14ac:dyDescent="0.35">
      <c r="A50" s="120">
        <v>1.0159</v>
      </c>
      <c r="B50" s="68"/>
      <c r="C50" s="69"/>
      <c r="D50" s="69"/>
      <c r="E50" s="116"/>
      <c r="F50" s="121"/>
      <c r="G50" s="69"/>
      <c r="H50" s="122"/>
      <c r="I50" s="263">
        <f>SUM(I48:I49)</f>
        <v>1575.2515449578259</v>
      </c>
      <c r="J50" s="262">
        <f t="shared" ref="J50:L50" si="5">SUM(J48:J49)</f>
        <v>0</v>
      </c>
      <c r="K50" s="262">
        <f t="shared" si="5"/>
        <v>0</v>
      </c>
      <c r="L50" s="262">
        <f t="shared" si="5"/>
        <v>300.04791332530021</v>
      </c>
    </row>
    <row r="51" spans="1:12" ht="15" thickTop="1" x14ac:dyDescent="0.3">
      <c r="A51" s="62"/>
      <c r="B51" s="58"/>
      <c r="C51" s="60"/>
      <c r="D51" s="60"/>
      <c r="E51" s="118"/>
      <c r="F51" s="115"/>
      <c r="G51" s="60"/>
      <c r="H51" s="119"/>
    </row>
    <row r="52" spans="1:12" x14ac:dyDescent="0.3">
      <c r="A52" s="97" t="s">
        <v>262</v>
      </c>
      <c r="B52" s="58"/>
      <c r="C52" s="60"/>
      <c r="D52" s="60"/>
      <c r="E52" s="98" t="s">
        <v>305</v>
      </c>
      <c r="F52" s="123" t="s">
        <v>306</v>
      </c>
      <c r="G52" s="98" t="s">
        <v>307</v>
      </c>
      <c r="H52" s="113" t="s">
        <v>223</v>
      </c>
    </row>
    <row r="53" spans="1:12" ht="15" thickBot="1" x14ac:dyDescent="0.35">
      <c r="A53" s="100">
        <v>1.0159</v>
      </c>
      <c r="B53" s="58"/>
      <c r="C53" s="60"/>
      <c r="D53" s="60"/>
      <c r="E53" s="102">
        <v>6757.4013864883518</v>
      </c>
      <c r="F53" s="115">
        <v>13.324265772430932</v>
      </c>
      <c r="G53" s="60">
        <v>269</v>
      </c>
      <c r="H53" s="119">
        <v>10341.628879272273</v>
      </c>
      <c r="I53" s="263">
        <f>H53-L53</f>
        <v>8686.9682585887094</v>
      </c>
      <c r="J53" s="262"/>
      <c r="K53" s="262"/>
      <c r="L53" s="262">
        <f>H53*16%</f>
        <v>1654.6606206835638</v>
      </c>
    </row>
    <row r="54" spans="1:12" ht="15.6" thickTop="1" thickBot="1" x14ac:dyDescent="0.35">
      <c r="A54" s="67"/>
      <c r="B54" s="124"/>
      <c r="C54" s="69"/>
      <c r="D54" s="69"/>
      <c r="E54" s="69"/>
      <c r="F54" s="121"/>
      <c r="G54" s="69"/>
      <c r="H54" s="122"/>
    </row>
    <row r="55" spans="1:12" ht="15.6" thickTop="1" thickBot="1" x14ac:dyDescent="0.35">
      <c r="A55" s="97" t="s">
        <v>266</v>
      </c>
      <c r="B55" s="101" t="s">
        <v>308</v>
      </c>
      <c r="C55" s="60"/>
      <c r="D55" s="60"/>
      <c r="E55" s="60"/>
      <c r="F55" s="115">
        <v>4.1752459948236567</v>
      </c>
      <c r="G55" s="60">
        <v>269</v>
      </c>
      <c r="H55" s="119">
        <v>1123.1411726075637</v>
      </c>
      <c r="I55" s="263">
        <f>H55-L55</f>
        <v>943.43858499035355</v>
      </c>
      <c r="J55" s="262"/>
      <c r="K55" s="262"/>
      <c r="L55" s="262">
        <f>H55*16%</f>
        <v>179.70258761721018</v>
      </c>
    </row>
    <row r="56" spans="1:12" ht="15.6" thickTop="1" thickBot="1" x14ac:dyDescent="0.35">
      <c r="A56" s="120">
        <v>1.0159</v>
      </c>
      <c r="B56" s="124"/>
      <c r="C56" s="69"/>
      <c r="D56" s="69"/>
      <c r="E56" s="69"/>
      <c r="F56" s="69"/>
      <c r="G56" s="69"/>
      <c r="H56" s="125"/>
    </row>
    <row r="57" spans="1:12" ht="15" thickTop="1" x14ac:dyDescent="0.3">
      <c r="A57" s="126"/>
      <c r="B57" s="127"/>
      <c r="C57" s="128"/>
      <c r="D57" s="128"/>
      <c r="E57" s="128"/>
      <c r="F57" s="128"/>
      <c r="G57" s="128"/>
      <c r="H57" s="129"/>
    </row>
    <row r="58" spans="1:12" x14ac:dyDescent="0.3">
      <c r="A58" s="130"/>
      <c r="B58" s="58"/>
      <c r="C58" s="60"/>
      <c r="D58" s="60"/>
      <c r="E58" s="60"/>
      <c r="F58" s="60"/>
      <c r="G58" s="60"/>
      <c r="H58" s="64"/>
    </row>
    <row r="59" spans="1:12" x14ac:dyDescent="0.3">
      <c r="A59" s="131"/>
      <c r="B59" s="58"/>
      <c r="C59" s="60"/>
      <c r="D59" s="60"/>
      <c r="E59" s="60"/>
      <c r="F59" s="132"/>
      <c r="G59" s="60"/>
      <c r="H59" s="64"/>
    </row>
    <row r="60" spans="1:12" x14ac:dyDescent="0.3">
      <c r="A60" s="133" t="s">
        <v>309</v>
      </c>
      <c r="B60" s="58"/>
      <c r="C60" s="60"/>
      <c r="D60" s="60"/>
      <c r="E60" s="60"/>
      <c r="F60" s="60"/>
      <c r="G60" s="60"/>
      <c r="H60" s="64"/>
    </row>
    <row r="61" spans="1:12" x14ac:dyDescent="0.3">
      <c r="A61" s="134" t="s">
        <v>310</v>
      </c>
      <c r="B61" s="58"/>
      <c r="C61" s="60"/>
      <c r="D61" s="60"/>
      <c r="E61" s="60"/>
      <c r="F61" s="60"/>
      <c r="G61" s="115"/>
      <c r="H61" s="64"/>
    </row>
    <row r="62" spans="1:12" x14ac:dyDescent="0.3">
      <c r="A62" s="134" t="s">
        <v>311</v>
      </c>
      <c r="B62" s="58"/>
      <c r="C62" s="60"/>
      <c r="D62" s="60"/>
      <c r="E62" s="60"/>
      <c r="F62" s="60"/>
      <c r="G62" s="115"/>
      <c r="H62" s="64"/>
    </row>
    <row r="63" spans="1:12" x14ac:dyDescent="0.3">
      <c r="A63" s="134" t="s">
        <v>312</v>
      </c>
      <c r="B63" s="58"/>
      <c r="C63" s="60"/>
      <c r="D63" s="60"/>
      <c r="E63" s="60"/>
      <c r="F63" s="60"/>
      <c r="G63" s="115"/>
      <c r="H63" s="64"/>
    </row>
    <row r="64" spans="1:12" x14ac:dyDescent="0.3">
      <c r="A64" s="134" t="s">
        <v>313</v>
      </c>
      <c r="B64" s="58"/>
      <c r="C64" s="60"/>
      <c r="D64" s="60"/>
      <c r="E64" s="60"/>
      <c r="F64" s="60"/>
      <c r="G64" s="115"/>
      <c r="H64" s="64"/>
    </row>
    <row r="65" spans="1:8" x14ac:dyDescent="0.3">
      <c r="A65" s="134" t="s">
        <v>314</v>
      </c>
      <c r="B65" s="58"/>
      <c r="C65" s="60"/>
      <c r="D65" s="60"/>
      <c r="E65" s="60"/>
      <c r="F65" s="60"/>
      <c r="G65" s="135"/>
      <c r="H65" s="64"/>
    </row>
    <row r="66" spans="1:8" x14ac:dyDescent="0.3">
      <c r="A66" s="136" t="s">
        <v>315</v>
      </c>
      <c r="B66" s="137" t="s">
        <v>316</v>
      </c>
      <c r="C66" s="60"/>
      <c r="D66" s="60"/>
      <c r="E66" s="60"/>
      <c r="F66" s="60"/>
      <c r="G66" s="60"/>
      <c r="H66" s="64"/>
    </row>
    <row r="67" spans="1:8" x14ac:dyDescent="0.3">
      <c r="A67" s="134" t="s">
        <v>317</v>
      </c>
      <c r="B67" s="138">
        <v>1.5900000000000001E-2</v>
      </c>
      <c r="C67" s="60"/>
      <c r="D67" s="60"/>
      <c r="E67" s="60"/>
      <c r="F67" s="60"/>
      <c r="G67" s="60"/>
      <c r="H67" s="64"/>
    </row>
    <row r="68" spans="1:8" x14ac:dyDescent="0.3">
      <c r="A68" s="134"/>
      <c r="B68" s="58"/>
      <c r="C68" s="60"/>
      <c r="D68" s="60"/>
      <c r="E68" s="60"/>
      <c r="F68" s="60"/>
      <c r="G68" s="60"/>
      <c r="H68" s="64"/>
    </row>
    <row r="69" spans="1:8" ht="18" x14ac:dyDescent="0.35">
      <c r="A69" s="416" t="s">
        <v>318</v>
      </c>
      <c r="B69" s="417"/>
      <c r="C69" s="417"/>
      <c r="D69" s="417"/>
      <c r="E69" s="417"/>
      <c r="F69" s="417"/>
      <c r="G69" s="417"/>
      <c r="H69" s="418"/>
    </row>
  </sheetData>
  <mergeCells count="3">
    <mergeCell ref="A1:H1"/>
    <mergeCell ref="A2:H2"/>
    <mergeCell ref="A69:H69"/>
  </mergeCells>
  <pageMargins left="0.7" right="0.7" top="0.75" bottom="0.75" header="0.3" footer="0.3"/>
  <pageSetup orientation="portrait" r:id="rId1"/>
  <headerFooter>
    <oddHeader>&amp;L&amp;"Calibri"&amp;10&amp;K000000 Official&amp;1#_x000D_</oddHead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251CA4-435A-47D6-98A9-8A32CE1E139F}">
  <dimension ref="B2:W87"/>
  <sheetViews>
    <sheetView topLeftCell="A64" workbookViewId="0">
      <selection activeCell="H21" sqref="H21"/>
    </sheetView>
  </sheetViews>
  <sheetFormatPr defaultRowHeight="14.4" x14ac:dyDescent="0.3"/>
  <cols>
    <col min="1" max="1" width="4.5546875" customWidth="1"/>
    <col min="2" max="2" width="6" bestFit="1" customWidth="1"/>
    <col min="3" max="3" width="5.109375" customWidth="1"/>
    <col min="5" max="5" width="14.77734375" bestFit="1" customWidth="1"/>
    <col min="6" max="6" width="10" bestFit="1" customWidth="1"/>
    <col min="7" max="7" width="4.6640625" customWidth="1"/>
    <col min="8" max="8" width="12.88671875" customWidth="1"/>
    <col min="9" max="9" width="18.33203125" bestFit="1" customWidth="1"/>
    <col min="11" max="11" width="5.33203125" bestFit="1" customWidth="1"/>
    <col min="12" max="12" width="7.88671875" bestFit="1" customWidth="1"/>
    <col min="13" max="13" width="6.21875" customWidth="1"/>
    <col min="14" max="14" width="11.5546875" bestFit="1" customWidth="1"/>
    <col min="15" max="15" width="11.109375" bestFit="1" customWidth="1"/>
    <col min="16" max="17" width="9.109375" bestFit="1" customWidth="1"/>
    <col min="18" max="18" width="16" bestFit="1" customWidth="1"/>
    <col min="19" max="19" width="17.44140625" bestFit="1" customWidth="1"/>
    <col min="20" max="20" width="9.33203125" bestFit="1" customWidth="1"/>
  </cols>
  <sheetData>
    <row r="2" spans="2:23" x14ac:dyDescent="0.3">
      <c r="W2" t="s">
        <v>441</v>
      </c>
    </row>
    <row r="3" spans="2:23" x14ac:dyDescent="0.3">
      <c r="B3" s="211" t="s">
        <v>440</v>
      </c>
      <c r="C3" s="212"/>
      <c r="D3" s="211" t="s">
        <v>439</v>
      </c>
      <c r="E3" s="211" t="s">
        <v>438</v>
      </c>
      <c r="F3" s="211" t="s">
        <v>437</v>
      </c>
      <c r="G3" s="212"/>
      <c r="H3" s="212"/>
      <c r="I3" s="211" t="s">
        <v>436</v>
      </c>
      <c r="N3" s="210" t="s">
        <v>435</v>
      </c>
      <c r="O3" s="210" t="s">
        <v>434</v>
      </c>
      <c r="P3" s="210" t="s">
        <v>429</v>
      </c>
      <c r="Q3" s="210" t="s">
        <v>113</v>
      </c>
      <c r="R3" s="210" t="s">
        <v>433</v>
      </c>
      <c r="S3" s="210" t="s">
        <v>432</v>
      </c>
      <c r="V3" t="s">
        <v>431</v>
      </c>
      <c r="W3" t="s">
        <v>430</v>
      </c>
    </row>
    <row r="5" spans="2:23" x14ac:dyDescent="0.3">
      <c r="B5">
        <v>5001</v>
      </c>
      <c r="D5" s="203">
        <v>55430.82</v>
      </c>
      <c r="E5" s="203"/>
      <c r="F5" s="203">
        <f t="shared" ref="F5:F16" si="0">SUM(D5,E5)</f>
        <v>55430.82</v>
      </c>
      <c r="H5" t="s">
        <v>420</v>
      </c>
      <c r="I5" t="s">
        <v>429</v>
      </c>
      <c r="K5" s="209">
        <v>0.79</v>
      </c>
      <c r="N5" s="203"/>
      <c r="O5" s="203"/>
      <c r="P5" s="203">
        <f>ROUND(F5*K5,2)</f>
        <v>43790.35</v>
      </c>
      <c r="Q5" s="203"/>
      <c r="R5" s="203">
        <f>F5-P5</f>
        <v>11640.470000000001</v>
      </c>
      <c r="S5" s="203"/>
      <c r="V5">
        <v>55950</v>
      </c>
      <c r="W5" s="244">
        <f>F5-V5</f>
        <v>-519.18000000000029</v>
      </c>
    </row>
    <row r="6" spans="2:23" x14ac:dyDescent="0.3">
      <c r="B6">
        <v>50011</v>
      </c>
      <c r="D6" s="203">
        <v>49138.12</v>
      </c>
      <c r="E6" s="203"/>
      <c r="F6" s="203">
        <f t="shared" si="0"/>
        <v>49138.12</v>
      </c>
      <c r="H6" t="s">
        <v>420</v>
      </c>
      <c r="I6" t="s">
        <v>113</v>
      </c>
      <c r="K6" s="209">
        <v>1</v>
      </c>
      <c r="N6" s="203"/>
      <c r="O6" s="203"/>
      <c r="P6" s="203"/>
      <c r="Q6" s="203">
        <f>F6*K6</f>
        <v>49138.12</v>
      </c>
      <c r="R6" s="203"/>
      <c r="S6" s="203"/>
      <c r="V6">
        <f>16500+31546</f>
        <v>48046</v>
      </c>
      <c r="W6">
        <f t="shared" ref="W6:W16" si="1">F6-V6</f>
        <v>1092.1200000000026</v>
      </c>
    </row>
    <row r="7" spans="2:23" x14ac:dyDescent="0.3">
      <c r="B7">
        <v>5002</v>
      </c>
      <c r="D7" s="203">
        <v>5224.83</v>
      </c>
      <c r="E7" s="203"/>
      <c r="F7" s="203">
        <f t="shared" si="0"/>
        <v>5224.83</v>
      </c>
      <c r="H7" t="s">
        <v>420</v>
      </c>
      <c r="I7" t="s">
        <v>429</v>
      </c>
      <c r="K7" s="209">
        <v>0.79</v>
      </c>
      <c r="N7" s="203"/>
      <c r="O7" s="203"/>
      <c r="P7" s="203">
        <f>ROUND(F7*K7,2)</f>
        <v>4127.62</v>
      </c>
      <c r="Q7" s="203"/>
      <c r="R7" s="203">
        <f>F7-P7</f>
        <v>1097.21</v>
      </c>
      <c r="S7" s="203"/>
      <c r="V7">
        <f>7721</f>
        <v>7721</v>
      </c>
      <c r="W7">
        <f t="shared" si="1"/>
        <v>-2496.17</v>
      </c>
    </row>
    <row r="8" spans="2:23" x14ac:dyDescent="0.3">
      <c r="B8">
        <v>50021</v>
      </c>
      <c r="D8" s="203">
        <v>1003.6</v>
      </c>
      <c r="E8" s="203"/>
      <c r="F8" s="203">
        <f t="shared" si="0"/>
        <v>1003.6</v>
      </c>
      <c r="H8" t="s">
        <v>420</v>
      </c>
      <c r="I8" t="s">
        <v>113</v>
      </c>
      <c r="K8" s="209">
        <v>1</v>
      </c>
      <c r="N8" s="203"/>
      <c r="O8" s="203"/>
      <c r="P8" s="203"/>
      <c r="Q8" s="203">
        <f>F8*K8</f>
        <v>1003.6</v>
      </c>
      <c r="R8" s="203"/>
      <c r="S8" s="203"/>
      <c r="V8">
        <f>6969</f>
        <v>6969</v>
      </c>
      <c r="W8">
        <f t="shared" si="1"/>
        <v>-5965.4</v>
      </c>
    </row>
    <row r="9" spans="2:23" x14ac:dyDescent="0.3">
      <c r="B9">
        <v>5003</v>
      </c>
      <c r="D9" s="203">
        <v>24181.16</v>
      </c>
      <c r="E9" s="203">
        <v>-24181.16</v>
      </c>
      <c r="F9" s="203">
        <f t="shared" si="0"/>
        <v>0</v>
      </c>
      <c r="H9" t="s">
        <v>420</v>
      </c>
      <c r="I9" t="s">
        <v>113</v>
      </c>
      <c r="K9" s="209">
        <v>1</v>
      </c>
      <c r="N9" s="203"/>
      <c r="O9" s="203"/>
      <c r="P9" s="203"/>
      <c r="Q9" s="203">
        <f>F9*K9</f>
        <v>0</v>
      </c>
      <c r="R9" s="203"/>
      <c r="S9" s="203"/>
      <c r="V9">
        <f>2301+1378</f>
        <v>3679</v>
      </c>
      <c r="W9">
        <f t="shared" si="1"/>
        <v>-3679</v>
      </c>
    </row>
    <row r="10" spans="2:23" x14ac:dyDescent="0.3">
      <c r="B10">
        <v>5020</v>
      </c>
      <c r="D10" s="203">
        <v>1170.46</v>
      </c>
      <c r="E10" s="203"/>
      <c r="F10" s="203">
        <f t="shared" si="0"/>
        <v>1170.46</v>
      </c>
      <c r="H10" t="s">
        <v>420</v>
      </c>
      <c r="I10" t="s">
        <v>429</v>
      </c>
      <c r="K10" s="209">
        <v>0.79</v>
      </c>
      <c r="N10" s="203"/>
      <c r="O10" s="203"/>
      <c r="P10" s="203">
        <f>ROUND(F10*K10,2)</f>
        <v>924.66</v>
      </c>
      <c r="Q10" s="203"/>
      <c r="R10" s="203">
        <f>F10-P10</f>
        <v>245.80000000000007</v>
      </c>
      <c r="S10" s="203"/>
      <c r="V10">
        <f>1126</f>
        <v>1126</v>
      </c>
      <c r="W10">
        <f t="shared" si="1"/>
        <v>44.460000000000036</v>
      </c>
    </row>
    <row r="11" spans="2:23" x14ac:dyDescent="0.3">
      <c r="B11">
        <v>5030</v>
      </c>
      <c r="D11" s="203">
        <v>0</v>
      </c>
      <c r="E11" s="203"/>
      <c r="F11" s="203">
        <f t="shared" si="0"/>
        <v>0</v>
      </c>
      <c r="H11" t="s">
        <v>420</v>
      </c>
      <c r="I11" t="s">
        <v>419</v>
      </c>
      <c r="K11" s="209">
        <v>0.79</v>
      </c>
      <c r="N11" s="203"/>
      <c r="O11" s="203">
        <f>ROUND(F11*K11,2)</f>
        <v>0</v>
      </c>
      <c r="P11" s="203"/>
      <c r="Q11" s="203"/>
      <c r="R11" s="203">
        <f>F11-P11</f>
        <v>0</v>
      </c>
      <c r="S11" s="203"/>
      <c r="V11">
        <v>1500</v>
      </c>
      <c r="W11">
        <f t="shared" si="1"/>
        <v>-1500</v>
      </c>
    </row>
    <row r="12" spans="2:23" x14ac:dyDescent="0.3">
      <c r="B12">
        <v>5042</v>
      </c>
      <c r="D12" s="203">
        <v>0</v>
      </c>
      <c r="E12" s="203"/>
      <c r="F12" s="203">
        <f t="shared" si="0"/>
        <v>0</v>
      </c>
      <c r="H12" t="s">
        <v>420</v>
      </c>
      <c r="I12" t="s">
        <v>429</v>
      </c>
      <c r="K12" s="209">
        <v>0.79</v>
      </c>
      <c r="N12" s="203"/>
      <c r="O12" s="203"/>
      <c r="P12" s="203">
        <f>ROUND(D12*K12,2)</f>
        <v>0</v>
      </c>
      <c r="Q12" s="203"/>
      <c r="R12" s="203">
        <f>F12-P12</f>
        <v>0</v>
      </c>
      <c r="S12" s="203"/>
      <c r="V12">
        <v>300</v>
      </c>
      <c r="W12">
        <f t="shared" si="1"/>
        <v>-300</v>
      </c>
    </row>
    <row r="13" spans="2:23" x14ac:dyDescent="0.3">
      <c r="B13">
        <v>5043</v>
      </c>
      <c r="D13" s="203">
        <v>0</v>
      </c>
      <c r="E13" s="203"/>
      <c r="F13" s="203">
        <f t="shared" si="0"/>
        <v>0</v>
      </c>
      <c r="H13" t="s">
        <v>420</v>
      </c>
      <c r="I13" t="s">
        <v>113</v>
      </c>
      <c r="K13" s="209">
        <v>1</v>
      </c>
      <c r="N13" s="203"/>
      <c r="O13" s="203"/>
      <c r="P13" s="203"/>
      <c r="Q13" s="203">
        <f>F13*K13</f>
        <v>0</v>
      </c>
      <c r="R13" s="203"/>
      <c r="S13" s="203"/>
      <c r="V13">
        <v>500</v>
      </c>
      <c r="W13">
        <f t="shared" si="1"/>
        <v>-500</v>
      </c>
    </row>
    <row r="14" spans="2:23" x14ac:dyDescent="0.3">
      <c r="B14">
        <v>5045</v>
      </c>
      <c r="D14" s="203">
        <v>2171.8000000000002</v>
      </c>
      <c r="E14" s="203"/>
      <c r="F14" s="203">
        <f t="shared" si="0"/>
        <v>2171.8000000000002</v>
      </c>
      <c r="H14" t="s">
        <v>420</v>
      </c>
      <c r="I14" t="s">
        <v>419</v>
      </c>
      <c r="K14" s="209">
        <v>0.79</v>
      </c>
      <c r="N14" s="203"/>
      <c r="O14" s="203">
        <f>ROUND(F14*K14,2)</f>
        <v>1715.72</v>
      </c>
      <c r="P14" s="203"/>
      <c r="Q14" s="203"/>
      <c r="R14" s="203">
        <f>F14-O14</f>
        <v>456.08000000000015</v>
      </c>
      <c r="S14" s="203"/>
      <c r="W14">
        <f t="shared" si="1"/>
        <v>2171.8000000000002</v>
      </c>
    </row>
    <row r="15" spans="2:23" x14ac:dyDescent="0.3">
      <c r="B15">
        <v>8050</v>
      </c>
      <c r="D15" s="203">
        <v>0</v>
      </c>
      <c r="E15" s="203"/>
      <c r="F15" s="203">
        <f t="shared" si="0"/>
        <v>0</v>
      </c>
      <c r="H15" t="s">
        <v>420</v>
      </c>
      <c r="I15" t="s">
        <v>419</v>
      </c>
      <c r="K15" s="209">
        <v>0.79</v>
      </c>
      <c r="N15" s="203"/>
      <c r="O15" s="203">
        <f>ROUND(F15*K15,2)</f>
        <v>0</v>
      </c>
      <c r="P15" s="203"/>
      <c r="Q15" s="203"/>
      <c r="R15" s="203">
        <f>F15-O15</f>
        <v>0</v>
      </c>
      <c r="S15" s="203"/>
      <c r="V15">
        <v>1464</v>
      </c>
      <c r="W15">
        <f t="shared" si="1"/>
        <v>-1464</v>
      </c>
    </row>
    <row r="16" spans="2:23" x14ac:dyDescent="0.3">
      <c r="B16">
        <v>8057</v>
      </c>
      <c r="D16" s="203">
        <v>618.36</v>
      </c>
      <c r="E16" s="203"/>
      <c r="F16" s="203">
        <f t="shared" si="0"/>
        <v>618.36</v>
      </c>
      <c r="H16" t="s">
        <v>420</v>
      </c>
      <c r="I16" t="s">
        <v>419</v>
      </c>
      <c r="K16" s="209">
        <v>0.79</v>
      </c>
      <c r="N16" s="203"/>
      <c r="O16" s="203">
        <f>ROUND(F16*K16,2)</f>
        <v>488.5</v>
      </c>
      <c r="P16" s="203"/>
      <c r="Q16" s="203"/>
      <c r="R16" s="203">
        <f>F16-O16</f>
        <v>129.86000000000001</v>
      </c>
      <c r="S16" s="203"/>
      <c r="W16">
        <f t="shared" si="1"/>
        <v>618.36</v>
      </c>
    </row>
    <row r="17" spans="2:23" x14ac:dyDescent="0.3">
      <c r="D17" s="203"/>
      <c r="E17" s="203"/>
      <c r="F17" s="203"/>
      <c r="N17" s="203"/>
      <c r="O17" s="203"/>
      <c r="P17" s="203"/>
      <c r="Q17" s="203"/>
      <c r="R17" s="203"/>
      <c r="S17" s="203"/>
    </row>
    <row r="18" spans="2:23" x14ac:dyDescent="0.3">
      <c r="B18">
        <v>6000</v>
      </c>
      <c r="D18" s="203">
        <v>12219.48</v>
      </c>
      <c r="E18" s="203"/>
      <c r="F18" s="203">
        <f t="shared" ref="F18:F34" si="2">SUM(D18,E18)</f>
        <v>12219.48</v>
      </c>
      <c r="H18" t="s">
        <v>423</v>
      </c>
      <c r="I18" t="s">
        <v>428</v>
      </c>
      <c r="K18" s="209">
        <v>1</v>
      </c>
      <c r="N18" s="203">
        <f t="shared" ref="N18:N33" si="3">F18*K18</f>
        <v>12219.48</v>
      </c>
      <c r="O18" s="203"/>
      <c r="P18" s="203"/>
      <c r="Q18" s="203"/>
      <c r="R18" s="203"/>
      <c r="S18" s="203"/>
      <c r="V18">
        <v>17838</v>
      </c>
      <c r="W18">
        <f t="shared" ref="W18:W57" si="4">F18-V18</f>
        <v>-5618.52</v>
      </c>
    </row>
    <row r="19" spans="2:23" x14ac:dyDescent="0.3">
      <c r="B19">
        <v>6020</v>
      </c>
      <c r="D19" s="203">
        <v>23562.06</v>
      </c>
      <c r="E19" s="203"/>
      <c r="F19" s="203">
        <f t="shared" si="2"/>
        <v>23562.06</v>
      </c>
      <c r="H19" t="s">
        <v>423</v>
      </c>
      <c r="I19" t="s">
        <v>422</v>
      </c>
      <c r="K19" s="209">
        <v>1</v>
      </c>
      <c r="N19" s="203">
        <f t="shared" si="3"/>
        <v>23562.06</v>
      </c>
      <c r="O19" s="203"/>
      <c r="P19" s="203"/>
      <c r="Q19" s="203"/>
      <c r="R19" s="203"/>
      <c r="S19" s="203"/>
      <c r="V19">
        <v>22000</v>
      </c>
      <c r="W19">
        <f t="shared" si="4"/>
        <v>1562.0600000000013</v>
      </c>
    </row>
    <row r="20" spans="2:23" x14ac:dyDescent="0.3">
      <c r="B20">
        <v>6026</v>
      </c>
      <c r="D20" s="203">
        <v>152.22999999999999</v>
      </c>
      <c r="E20" s="203"/>
      <c r="F20" s="203">
        <f t="shared" si="2"/>
        <v>152.22999999999999</v>
      </c>
      <c r="H20" t="s">
        <v>423</v>
      </c>
      <c r="I20" t="s">
        <v>422</v>
      </c>
      <c r="K20" s="209">
        <v>1</v>
      </c>
      <c r="N20" s="203">
        <f t="shared" si="3"/>
        <v>152.22999999999999</v>
      </c>
      <c r="O20" s="203"/>
      <c r="P20" s="203"/>
      <c r="Q20" s="203"/>
      <c r="R20" s="203"/>
      <c r="S20" s="203"/>
      <c r="V20">
        <v>4000</v>
      </c>
      <c r="W20">
        <f t="shared" si="4"/>
        <v>-3847.77</v>
      </c>
    </row>
    <row r="21" spans="2:23" x14ac:dyDescent="0.3">
      <c r="B21">
        <v>6027</v>
      </c>
      <c r="D21" s="203">
        <v>1012.44</v>
      </c>
      <c r="E21" s="203"/>
      <c r="F21" s="203">
        <f t="shared" si="2"/>
        <v>1012.44</v>
      </c>
      <c r="H21" t="s">
        <v>423</v>
      </c>
      <c r="I21" t="s">
        <v>422</v>
      </c>
      <c r="K21" s="209">
        <v>1</v>
      </c>
      <c r="N21" s="203">
        <f t="shared" si="3"/>
        <v>1012.44</v>
      </c>
      <c r="O21" s="203"/>
      <c r="P21" s="203"/>
      <c r="Q21" s="203"/>
      <c r="R21" s="203"/>
      <c r="S21" s="203"/>
      <c r="V21">
        <v>1100</v>
      </c>
      <c r="W21">
        <f t="shared" si="4"/>
        <v>-87.559999999999945</v>
      </c>
    </row>
    <row r="22" spans="2:23" x14ac:dyDescent="0.3">
      <c r="B22">
        <v>6034</v>
      </c>
      <c r="D22" s="203">
        <v>0</v>
      </c>
      <c r="E22" s="203"/>
      <c r="F22" s="203">
        <f t="shared" si="2"/>
        <v>0</v>
      </c>
      <c r="H22" t="s">
        <v>423</v>
      </c>
      <c r="I22" t="s">
        <v>422</v>
      </c>
      <c r="K22" s="209">
        <v>1</v>
      </c>
      <c r="N22" s="203">
        <f t="shared" si="3"/>
        <v>0</v>
      </c>
      <c r="O22" s="203"/>
      <c r="P22" s="203"/>
      <c r="Q22" s="203"/>
      <c r="R22" s="203"/>
      <c r="S22" s="203"/>
      <c r="V22">
        <v>1000</v>
      </c>
      <c r="W22">
        <f t="shared" si="4"/>
        <v>-1000</v>
      </c>
    </row>
    <row r="23" spans="2:23" x14ac:dyDescent="0.3">
      <c r="B23">
        <v>6035</v>
      </c>
      <c r="D23" s="203">
        <v>0</v>
      </c>
      <c r="E23" s="203"/>
      <c r="F23" s="203">
        <f t="shared" si="2"/>
        <v>0</v>
      </c>
      <c r="H23" t="s">
        <v>423</v>
      </c>
      <c r="I23" t="s">
        <v>422</v>
      </c>
      <c r="K23" s="209">
        <v>1</v>
      </c>
      <c r="N23" s="203">
        <f t="shared" si="3"/>
        <v>0</v>
      </c>
      <c r="O23" s="203"/>
      <c r="P23" s="203"/>
      <c r="Q23" s="203"/>
      <c r="R23" s="203"/>
      <c r="S23" s="203"/>
      <c r="V23">
        <v>1000</v>
      </c>
      <c r="W23">
        <f t="shared" si="4"/>
        <v>-1000</v>
      </c>
    </row>
    <row r="24" spans="2:23" x14ac:dyDescent="0.3">
      <c r="B24">
        <v>6040</v>
      </c>
      <c r="D24" s="203">
        <v>15920</v>
      </c>
      <c r="E24" s="203">
        <v>-15000</v>
      </c>
      <c r="F24" s="203">
        <f t="shared" si="2"/>
        <v>920</v>
      </c>
      <c r="H24" t="s">
        <v>423</v>
      </c>
      <c r="I24" t="s">
        <v>422</v>
      </c>
      <c r="K24" s="209">
        <v>1</v>
      </c>
      <c r="N24" s="203">
        <f t="shared" si="3"/>
        <v>920</v>
      </c>
      <c r="O24" s="203"/>
      <c r="P24" s="203"/>
      <c r="Q24" s="203"/>
      <c r="R24" s="203"/>
      <c r="S24" s="203"/>
      <c r="V24">
        <v>15000</v>
      </c>
      <c r="W24">
        <f t="shared" si="4"/>
        <v>-14080</v>
      </c>
    </row>
    <row r="25" spans="2:23" x14ac:dyDescent="0.3">
      <c r="B25">
        <v>6045</v>
      </c>
      <c r="D25" s="203">
        <v>0</v>
      </c>
      <c r="E25" s="203">
        <v>633.94000000000005</v>
      </c>
      <c r="F25" s="203">
        <f t="shared" si="2"/>
        <v>633.94000000000005</v>
      </c>
      <c r="H25" t="s">
        <v>423</v>
      </c>
      <c r="I25" t="s">
        <v>427</v>
      </c>
      <c r="K25" s="209">
        <v>0</v>
      </c>
      <c r="N25" s="203">
        <f t="shared" si="3"/>
        <v>0</v>
      </c>
      <c r="O25" s="203"/>
      <c r="P25" s="203"/>
      <c r="Q25" s="203"/>
      <c r="R25" s="203"/>
      <c r="S25" s="203"/>
      <c r="W25">
        <f t="shared" si="4"/>
        <v>633.94000000000005</v>
      </c>
    </row>
    <row r="26" spans="2:23" x14ac:dyDescent="0.3">
      <c r="B26">
        <v>6060</v>
      </c>
      <c r="D26" s="203">
        <v>6020</v>
      </c>
      <c r="E26" s="203"/>
      <c r="F26" s="203">
        <f t="shared" si="2"/>
        <v>6020</v>
      </c>
      <c r="H26" t="s">
        <v>423</v>
      </c>
      <c r="I26" t="s">
        <v>427</v>
      </c>
      <c r="K26" s="209">
        <v>1</v>
      </c>
      <c r="N26" s="203">
        <f t="shared" si="3"/>
        <v>6020</v>
      </c>
      <c r="O26" s="203"/>
      <c r="P26" s="203"/>
      <c r="Q26" s="203"/>
      <c r="R26" s="203"/>
      <c r="S26" s="203"/>
      <c r="V26">
        <v>6500</v>
      </c>
      <c r="W26">
        <f t="shared" si="4"/>
        <v>-480</v>
      </c>
    </row>
    <row r="27" spans="2:23" x14ac:dyDescent="0.3">
      <c r="B27">
        <v>6061</v>
      </c>
      <c r="D27" s="203">
        <v>0</v>
      </c>
      <c r="E27" s="203"/>
      <c r="F27" s="203">
        <f t="shared" si="2"/>
        <v>0</v>
      </c>
      <c r="H27" t="s">
        <v>423</v>
      </c>
      <c r="I27" t="s">
        <v>427</v>
      </c>
      <c r="K27" s="209">
        <v>1</v>
      </c>
      <c r="N27" s="203">
        <f t="shared" si="3"/>
        <v>0</v>
      </c>
      <c r="O27" s="203"/>
      <c r="P27" s="203"/>
      <c r="Q27" s="203"/>
      <c r="R27" s="203"/>
      <c r="S27" s="203"/>
      <c r="V27">
        <v>2500</v>
      </c>
      <c r="W27">
        <f t="shared" si="4"/>
        <v>-2500</v>
      </c>
    </row>
    <row r="28" spans="2:23" x14ac:dyDescent="0.3">
      <c r="B28">
        <v>6130</v>
      </c>
      <c r="D28" s="203">
        <v>2148.2800000000002</v>
      </c>
      <c r="E28" s="203"/>
      <c r="F28" s="203">
        <f t="shared" si="2"/>
        <v>2148.2800000000002</v>
      </c>
      <c r="H28" t="s">
        <v>420</v>
      </c>
      <c r="I28" t="s">
        <v>426</v>
      </c>
      <c r="K28" s="209">
        <v>1</v>
      </c>
      <c r="N28" s="203">
        <f t="shared" si="3"/>
        <v>2148.2800000000002</v>
      </c>
      <c r="O28" s="203"/>
      <c r="P28" s="203"/>
      <c r="Q28" s="203"/>
      <c r="R28" s="203"/>
      <c r="S28" s="203"/>
      <c r="V28">
        <v>3925</v>
      </c>
      <c r="W28">
        <f t="shared" si="4"/>
        <v>-1776.7199999999998</v>
      </c>
    </row>
    <row r="29" spans="2:23" x14ac:dyDescent="0.3">
      <c r="B29">
        <v>6140</v>
      </c>
      <c r="D29" s="203">
        <v>0</v>
      </c>
      <c r="E29" s="203"/>
      <c r="F29" s="203">
        <f t="shared" si="2"/>
        <v>0</v>
      </c>
      <c r="H29" t="s">
        <v>420</v>
      </c>
      <c r="I29" t="s">
        <v>285</v>
      </c>
      <c r="K29" s="209">
        <v>1</v>
      </c>
      <c r="N29" s="203">
        <f t="shared" si="3"/>
        <v>0</v>
      </c>
      <c r="O29" s="203"/>
      <c r="P29" s="203"/>
      <c r="Q29" s="203"/>
      <c r="R29" s="203"/>
      <c r="S29" s="203"/>
      <c r="V29">
        <f>700+500</f>
        <v>1200</v>
      </c>
      <c r="W29">
        <f t="shared" si="4"/>
        <v>-1200</v>
      </c>
    </row>
    <row r="30" spans="2:23" x14ac:dyDescent="0.3">
      <c r="B30">
        <v>6147</v>
      </c>
      <c r="D30" s="203">
        <v>1463.24</v>
      </c>
      <c r="E30" s="203">
        <v>-447.03</v>
      </c>
      <c r="F30" s="203">
        <f t="shared" si="2"/>
        <v>1016.21</v>
      </c>
      <c r="H30" t="s">
        <v>423</v>
      </c>
      <c r="I30" t="s">
        <v>422</v>
      </c>
      <c r="K30" s="209">
        <v>1</v>
      </c>
      <c r="N30" s="203">
        <f t="shared" si="3"/>
        <v>1016.21</v>
      </c>
      <c r="O30" s="203"/>
      <c r="P30" s="203"/>
      <c r="Q30" s="203"/>
      <c r="R30" s="203"/>
      <c r="S30" s="203"/>
      <c r="V30">
        <v>4000</v>
      </c>
      <c r="W30">
        <f t="shared" si="4"/>
        <v>-2983.79</v>
      </c>
    </row>
    <row r="31" spans="2:23" x14ac:dyDescent="0.3">
      <c r="B31">
        <v>6160</v>
      </c>
      <c r="D31" s="203">
        <v>12000</v>
      </c>
      <c r="E31" s="203"/>
      <c r="F31" s="203">
        <f t="shared" si="2"/>
        <v>12000</v>
      </c>
      <c r="H31" t="s">
        <v>420</v>
      </c>
      <c r="I31" t="s">
        <v>425</v>
      </c>
      <c r="K31" s="209">
        <v>1</v>
      </c>
      <c r="N31" s="203">
        <f t="shared" si="3"/>
        <v>12000</v>
      </c>
      <c r="O31" s="203"/>
      <c r="P31" s="203"/>
      <c r="Q31" s="203"/>
      <c r="R31" s="203"/>
      <c r="S31" s="203"/>
      <c r="V31">
        <v>12000</v>
      </c>
      <c r="W31">
        <f t="shared" si="4"/>
        <v>0</v>
      </c>
    </row>
    <row r="32" spans="2:23" x14ac:dyDescent="0.3">
      <c r="B32">
        <v>6175</v>
      </c>
      <c r="D32" s="203">
        <v>2496</v>
      </c>
      <c r="E32" s="203"/>
      <c r="F32" s="203">
        <f t="shared" si="2"/>
        <v>2496</v>
      </c>
      <c r="H32" t="s">
        <v>423</v>
      </c>
      <c r="I32" t="s">
        <v>424</v>
      </c>
      <c r="K32" s="209">
        <v>1</v>
      </c>
      <c r="N32" s="203">
        <f t="shared" si="3"/>
        <v>2496</v>
      </c>
      <c r="O32" s="203"/>
      <c r="P32" s="203"/>
      <c r="Q32" s="203"/>
      <c r="R32" s="203"/>
      <c r="S32" s="203"/>
      <c r="V32">
        <v>2455</v>
      </c>
      <c r="W32">
        <f t="shared" si="4"/>
        <v>41</v>
      </c>
    </row>
    <row r="33" spans="2:23" x14ac:dyDescent="0.3">
      <c r="B33">
        <v>6185</v>
      </c>
      <c r="D33" s="203">
        <v>0</v>
      </c>
      <c r="E33" s="203"/>
      <c r="F33" s="203">
        <f t="shared" si="2"/>
        <v>0</v>
      </c>
      <c r="H33" t="s">
        <v>423</v>
      </c>
      <c r="I33" t="s">
        <v>422</v>
      </c>
      <c r="K33" s="209">
        <v>1</v>
      </c>
      <c r="N33" s="203">
        <f t="shared" si="3"/>
        <v>0</v>
      </c>
      <c r="O33" s="203"/>
      <c r="P33" s="203"/>
      <c r="Q33" s="203"/>
      <c r="R33" s="203"/>
      <c r="S33" s="203"/>
      <c r="V33">
        <v>300</v>
      </c>
      <c r="W33">
        <f t="shared" si="4"/>
        <v>-300</v>
      </c>
    </row>
    <row r="34" spans="2:23" x14ac:dyDescent="0.3">
      <c r="B34">
        <v>6190</v>
      </c>
      <c r="D34" s="203">
        <v>3590</v>
      </c>
      <c r="E34" s="203"/>
      <c r="F34" s="203">
        <f t="shared" si="2"/>
        <v>3590</v>
      </c>
      <c r="H34" t="s">
        <v>420</v>
      </c>
      <c r="I34" t="s">
        <v>421</v>
      </c>
      <c r="K34" s="209">
        <v>1</v>
      </c>
      <c r="N34" s="203">
        <f>D34*K34</f>
        <v>3590</v>
      </c>
      <c r="O34" s="203"/>
      <c r="P34" s="203"/>
      <c r="Q34" s="203"/>
      <c r="R34" s="203"/>
      <c r="S34" s="203"/>
      <c r="V34">
        <v>3000</v>
      </c>
      <c r="W34">
        <f t="shared" si="4"/>
        <v>590</v>
      </c>
    </row>
    <row r="35" spans="2:23" x14ac:dyDescent="0.3">
      <c r="D35" s="203"/>
      <c r="E35" s="203"/>
      <c r="F35" s="203"/>
      <c r="K35" s="209"/>
      <c r="N35" s="203"/>
      <c r="O35" s="203"/>
      <c r="P35" s="203"/>
      <c r="Q35" s="203"/>
      <c r="R35" s="203"/>
      <c r="S35" s="203"/>
      <c r="W35">
        <f t="shared" si="4"/>
        <v>0</v>
      </c>
    </row>
    <row r="36" spans="2:23" x14ac:dyDescent="0.3">
      <c r="B36">
        <v>6315</v>
      </c>
      <c r="D36" s="203">
        <v>3366.67</v>
      </c>
      <c r="E36" s="203">
        <v>-3366.67</v>
      </c>
      <c r="F36" s="203">
        <f t="shared" ref="F36:F76" si="5">SUM(D36,E36)</f>
        <v>0</v>
      </c>
      <c r="H36" t="s">
        <v>420</v>
      </c>
      <c r="I36" t="s">
        <v>419</v>
      </c>
      <c r="K36" s="209">
        <v>0.79</v>
      </c>
      <c r="N36" s="203"/>
      <c r="O36" s="203">
        <f t="shared" ref="O36:O57" si="6">ROUND(F36*K36,2)</f>
        <v>0</v>
      </c>
      <c r="P36" s="203"/>
      <c r="Q36" s="203"/>
      <c r="R36" s="203">
        <f t="shared" ref="R36:R57" si="7">F36-O36</f>
        <v>0</v>
      </c>
      <c r="S36" s="203"/>
      <c r="V36">
        <v>8500</v>
      </c>
      <c r="W36">
        <f t="shared" si="4"/>
        <v>-8500</v>
      </c>
    </row>
    <row r="37" spans="2:23" x14ac:dyDescent="0.3">
      <c r="B37">
        <v>7000</v>
      </c>
      <c r="D37" s="203">
        <v>1994.52</v>
      </c>
      <c r="E37" s="203"/>
      <c r="F37" s="203">
        <f t="shared" si="5"/>
        <v>1994.52</v>
      </c>
      <c r="H37" t="s">
        <v>420</v>
      </c>
      <c r="I37" t="s">
        <v>419</v>
      </c>
      <c r="K37" s="209">
        <v>0.79</v>
      </c>
      <c r="N37" s="203"/>
      <c r="O37" s="203">
        <f t="shared" si="6"/>
        <v>1575.67</v>
      </c>
      <c r="P37" s="203"/>
      <c r="Q37" s="203"/>
      <c r="R37" s="203">
        <f t="shared" si="7"/>
        <v>418.84999999999991</v>
      </c>
      <c r="S37" s="203"/>
      <c r="V37">
        <v>1910</v>
      </c>
      <c r="W37">
        <f t="shared" si="4"/>
        <v>84.519999999999982</v>
      </c>
    </row>
    <row r="38" spans="2:23" x14ac:dyDescent="0.3">
      <c r="B38">
        <v>7001</v>
      </c>
      <c r="D38" s="203">
        <v>90.01</v>
      </c>
      <c r="E38" s="203"/>
      <c r="F38" s="203">
        <f t="shared" si="5"/>
        <v>90.01</v>
      </c>
      <c r="H38" t="s">
        <v>420</v>
      </c>
      <c r="I38" t="s">
        <v>419</v>
      </c>
      <c r="K38" s="209">
        <v>0.79</v>
      </c>
      <c r="N38" s="203"/>
      <c r="O38" s="203">
        <f t="shared" si="6"/>
        <v>71.11</v>
      </c>
      <c r="P38" s="203"/>
      <c r="Q38" s="203"/>
      <c r="R38" s="203">
        <f t="shared" si="7"/>
        <v>18.900000000000006</v>
      </c>
      <c r="S38" s="203"/>
      <c r="V38">
        <v>272</v>
      </c>
      <c r="W38">
        <f t="shared" si="4"/>
        <v>-181.99</v>
      </c>
    </row>
    <row r="39" spans="2:23" x14ac:dyDescent="0.3">
      <c r="B39">
        <v>7002</v>
      </c>
      <c r="D39" s="203">
        <v>368.64</v>
      </c>
      <c r="E39" s="203"/>
      <c r="F39" s="203">
        <f t="shared" si="5"/>
        <v>368.64</v>
      </c>
      <c r="H39" t="s">
        <v>420</v>
      </c>
      <c r="I39" t="s">
        <v>419</v>
      </c>
      <c r="K39" s="209">
        <v>0.79</v>
      </c>
      <c r="N39" s="203"/>
      <c r="O39" s="203">
        <f t="shared" si="6"/>
        <v>291.23</v>
      </c>
      <c r="P39" s="203"/>
      <c r="Q39" s="203"/>
      <c r="R39" s="203">
        <f t="shared" si="7"/>
        <v>77.409999999999968</v>
      </c>
      <c r="S39" s="203"/>
      <c r="V39">
        <v>505</v>
      </c>
      <c r="W39">
        <f t="shared" si="4"/>
        <v>-136.36000000000001</v>
      </c>
    </row>
    <row r="40" spans="2:23" x14ac:dyDescent="0.3">
      <c r="B40">
        <v>7005</v>
      </c>
      <c r="D40" s="203">
        <v>822.43</v>
      </c>
      <c r="E40" s="203"/>
      <c r="F40" s="203">
        <f t="shared" si="5"/>
        <v>822.43</v>
      </c>
      <c r="K40" s="209">
        <v>0.79</v>
      </c>
      <c r="N40" s="203"/>
      <c r="O40" s="203">
        <f t="shared" si="6"/>
        <v>649.72</v>
      </c>
      <c r="P40" s="203"/>
      <c r="Q40" s="203"/>
      <c r="R40" s="203">
        <f t="shared" si="7"/>
        <v>172.70999999999992</v>
      </c>
      <c r="S40" s="203"/>
      <c r="V40">
        <v>0</v>
      </c>
      <c r="W40">
        <f t="shared" si="4"/>
        <v>822.43</v>
      </c>
    </row>
    <row r="41" spans="2:23" x14ac:dyDescent="0.3">
      <c r="B41">
        <v>7010</v>
      </c>
      <c r="D41" s="203">
        <v>2662.63</v>
      </c>
      <c r="E41" s="203"/>
      <c r="F41" s="203">
        <f t="shared" si="5"/>
        <v>2662.63</v>
      </c>
      <c r="H41" t="s">
        <v>420</v>
      </c>
      <c r="I41" t="s">
        <v>419</v>
      </c>
      <c r="K41" s="209">
        <v>0.79</v>
      </c>
      <c r="N41" s="203"/>
      <c r="O41" s="203">
        <f t="shared" si="6"/>
        <v>2103.48</v>
      </c>
      <c r="P41" s="203"/>
      <c r="Q41" s="203"/>
      <c r="R41" s="203">
        <f t="shared" si="7"/>
        <v>559.15000000000009</v>
      </c>
      <c r="S41" s="203"/>
      <c r="V41">
        <v>2796</v>
      </c>
      <c r="W41">
        <f t="shared" si="4"/>
        <v>-133.36999999999989</v>
      </c>
    </row>
    <row r="42" spans="2:23" x14ac:dyDescent="0.3">
      <c r="B42">
        <v>7020</v>
      </c>
      <c r="D42" s="203">
        <v>3293.29</v>
      </c>
      <c r="E42" s="203"/>
      <c r="F42" s="203">
        <f t="shared" si="5"/>
        <v>3293.29</v>
      </c>
      <c r="H42" t="s">
        <v>420</v>
      </c>
      <c r="I42" t="s">
        <v>419</v>
      </c>
      <c r="K42" s="209">
        <v>0.79</v>
      </c>
      <c r="N42" s="203"/>
      <c r="O42" s="203">
        <f t="shared" si="6"/>
        <v>2601.6999999999998</v>
      </c>
      <c r="P42" s="203"/>
      <c r="Q42" s="203"/>
      <c r="R42" s="203">
        <f t="shared" si="7"/>
        <v>691.59000000000015</v>
      </c>
      <c r="S42" s="203"/>
      <c r="V42">
        <v>2500</v>
      </c>
      <c r="W42">
        <f t="shared" si="4"/>
        <v>793.29</v>
      </c>
    </row>
    <row r="43" spans="2:23" x14ac:dyDescent="0.3">
      <c r="B43">
        <v>7021</v>
      </c>
      <c r="D43" s="203">
        <v>432.11</v>
      </c>
      <c r="E43" s="203"/>
      <c r="F43" s="203">
        <f t="shared" si="5"/>
        <v>432.11</v>
      </c>
      <c r="H43" t="s">
        <v>420</v>
      </c>
      <c r="I43" t="s">
        <v>419</v>
      </c>
      <c r="K43" s="209">
        <v>0.79</v>
      </c>
      <c r="N43" s="203"/>
      <c r="O43" s="203">
        <f t="shared" si="6"/>
        <v>341.37</v>
      </c>
      <c r="P43" s="203"/>
      <c r="Q43" s="203"/>
      <c r="R43" s="203">
        <f t="shared" si="7"/>
        <v>90.740000000000009</v>
      </c>
      <c r="S43" s="203"/>
      <c r="V43">
        <v>12</v>
      </c>
      <c r="W43">
        <f t="shared" si="4"/>
        <v>420.11</v>
      </c>
    </row>
    <row r="44" spans="2:23" x14ac:dyDescent="0.3">
      <c r="B44">
        <v>7022</v>
      </c>
      <c r="D44" s="203">
        <v>1152.24</v>
      </c>
      <c r="E44" s="203"/>
      <c r="F44" s="203">
        <f t="shared" si="5"/>
        <v>1152.24</v>
      </c>
      <c r="H44" t="s">
        <v>420</v>
      </c>
      <c r="I44" t="s">
        <v>419</v>
      </c>
      <c r="K44" s="209">
        <v>0.79</v>
      </c>
      <c r="N44" s="203"/>
      <c r="O44" s="203">
        <f t="shared" si="6"/>
        <v>910.27</v>
      </c>
      <c r="P44" s="203"/>
      <c r="Q44" s="203"/>
      <c r="R44" s="203">
        <f t="shared" si="7"/>
        <v>241.97000000000003</v>
      </c>
      <c r="S44" s="203"/>
      <c r="V44">
        <v>1020</v>
      </c>
      <c r="W44">
        <f t="shared" si="4"/>
        <v>132.24</v>
      </c>
    </row>
    <row r="45" spans="2:23" x14ac:dyDescent="0.3">
      <c r="B45">
        <v>7030</v>
      </c>
      <c r="D45" s="203">
        <v>0.94</v>
      </c>
      <c r="E45" s="203"/>
      <c r="F45" s="203">
        <f t="shared" si="5"/>
        <v>0.94</v>
      </c>
      <c r="H45" t="s">
        <v>420</v>
      </c>
      <c r="I45" t="s">
        <v>419</v>
      </c>
      <c r="K45" s="209">
        <v>0.79</v>
      </c>
      <c r="N45" s="203"/>
      <c r="O45" s="203">
        <f t="shared" si="6"/>
        <v>0.74</v>
      </c>
      <c r="P45" s="203"/>
      <c r="Q45" s="203"/>
      <c r="R45" s="203">
        <f t="shared" si="7"/>
        <v>0.19999999999999996</v>
      </c>
      <c r="S45" s="203"/>
      <c r="V45">
        <v>300</v>
      </c>
      <c r="W45">
        <f t="shared" si="4"/>
        <v>-299.06</v>
      </c>
    </row>
    <row r="46" spans="2:23" x14ac:dyDescent="0.3">
      <c r="B46">
        <v>7031</v>
      </c>
      <c r="D46" s="203">
        <v>210</v>
      </c>
      <c r="E46" s="203"/>
      <c r="F46" s="203">
        <f t="shared" si="5"/>
        <v>210</v>
      </c>
      <c r="H46" t="s">
        <v>420</v>
      </c>
      <c r="I46" t="s">
        <v>419</v>
      </c>
      <c r="K46" s="209">
        <v>0.79</v>
      </c>
      <c r="N46" s="203"/>
      <c r="O46" s="203">
        <f t="shared" si="6"/>
        <v>165.9</v>
      </c>
      <c r="P46" s="203"/>
      <c r="Q46" s="203"/>
      <c r="R46" s="203">
        <f t="shared" si="7"/>
        <v>44.099999999999994</v>
      </c>
      <c r="S46" s="203"/>
      <c r="V46">
        <v>550</v>
      </c>
      <c r="W46">
        <f t="shared" si="4"/>
        <v>-340</v>
      </c>
    </row>
    <row r="47" spans="2:23" x14ac:dyDescent="0.3">
      <c r="B47">
        <v>7032</v>
      </c>
      <c r="D47" s="203">
        <v>149.69999999999999</v>
      </c>
      <c r="E47" s="203"/>
      <c r="F47" s="203">
        <f t="shared" si="5"/>
        <v>149.69999999999999</v>
      </c>
      <c r="H47" t="s">
        <v>420</v>
      </c>
      <c r="I47" t="s">
        <v>419</v>
      </c>
      <c r="K47" s="209">
        <v>0.79</v>
      </c>
      <c r="N47" s="203"/>
      <c r="O47" s="203">
        <f t="shared" si="6"/>
        <v>118.26</v>
      </c>
      <c r="P47" s="203"/>
      <c r="Q47" s="203"/>
      <c r="R47" s="203">
        <f t="shared" si="7"/>
        <v>31.439999999999984</v>
      </c>
      <c r="S47" s="203"/>
      <c r="V47">
        <v>950</v>
      </c>
      <c r="W47">
        <f t="shared" si="4"/>
        <v>-800.3</v>
      </c>
    </row>
    <row r="48" spans="2:23" x14ac:dyDescent="0.3">
      <c r="B48">
        <v>7040</v>
      </c>
      <c r="D48" s="203">
        <v>75.33</v>
      </c>
      <c r="E48" s="203"/>
      <c r="F48" s="203">
        <f t="shared" si="5"/>
        <v>75.33</v>
      </c>
      <c r="H48" t="s">
        <v>420</v>
      </c>
      <c r="I48" t="s">
        <v>419</v>
      </c>
      <c r="K48" s="209">
        <v>0.79</v>
      </c>
      <c r="N48" s="203"/>
      <c r="O48" s="203">
        <f t="shared" si="6"/>
        <v>59.51</v>
      </c>
      <c r="P48" s="203"/>
      <c r="Q48" s="203"/>
      <c r="R48" s="203">
        <f t="shared" si="7"/>
        <v>15.82</v>
      </c>
      <c r="S48" s="203"/>
      <c r="V48">
        <v>500</v>
      </c>
      <c r="W48">
        <f t="shared" si="4"/>
        <v>-424.67</v>
      </c>
    </row>
    <row r="49" spans="2:23" x14ac:dyDescent="0.3">
      <c r="B49">
        <v>7050</v>
      </c>
      <c r="D49" s="203">
        <v>1231.75</v>
      </c>
      <c r="E49" s="203"/>
      <c r="F49" s="203">
        <f t="shared" si="5"/>
        <v>1231.75</v>
      </c>
      <c r="H49" t="s">
        <v>420</v>
      </c>
      <c r="I49" t="s">
        <v>419</v>
      </c>
      <c r="K49" s="209">
        <v>0.79</v>
      </c>
      <c r="N49" s="203"/>
      <c r="O49" s="203">
        <f t="shared" si="6"/>
        <v>973.08</v>
      </c>
      <c r="P49" s="203"/>
      <c r="Q49" s="203"/>
      <c r="R49" s="203">
        <f t="shared" si="7"/>
        <v>258.66999999999996</v>
      </c>
      <c r="S49" s="203"/>
      <c r="V49">
        <v>714</v>
      </c>
      <c r="W49">
        <f t="shared" si="4"/>
        <v>517.75</v>
      </c>
    </row>
    <row r="50" spans="2:23" x14ac:dyDescent="0.3">
      <c r="B50">
        <v>7060</v>
      </c>
      <c r="D50" s="203">
        <v>0</v>
      </c>
      <c r="E50" s="203"/>
      <c r="F50" s="203">
        <f t="shared" si="5"/>
        <v>0</v>
      </c>
      <c r="H50" t="s">
        <v>420</v>
      </c>
      <c r="I50" t="s">
        <v>419</v>
      </c>
      <c r="K50" s="209">
        <v>0.79</v>
      </c>
      <c r="N50" s="203"/>
      <c r="O50" s="203">
        <f t="shared" si="6"/>
        <v>0</v>
      </c>
      <c r="P50" s="203"/>
      <c r="Q50" s="203"/>
      <c r="R50" s="203">
        <f t="shared" si="7"/>
        <v>0</v>
      </c>
      <c r="S50" s="203"/>
      <c r="V50">
        <v>1000</v>
      </c>
      <c r="W50">
        <f t="shared" si="4"/>
        <v>-1000</v>
      </c>
    </row>
    <row r="51" spans="2:23" x14ac:dyDescent="0.3">
      <c r="B51">
        <v>7065</v>
      </c>
      <c r="D51" s="203">
        <v>0</v>
      </c>
      <c r="E51" s="203"/>
      <c r="F51" s="203">
        <f t="shared" si="5"/>
        <v>0</v>
      </c>
      <c r="H51" t="s">
        <v>420</v>
      </c>
      <c r="I51" t="s">
        <v>419</v>
      </c>
      <c r="K51" s="209">
        <v>0.79</v>
      </c>
      <c r="N51" s="203"/>
      <c r="O51" s="203">
        <f t="shared" si="6"/>
        <v>0</v>
      </c>
      <c r="P51" s="203"/>
      <c r="Q51" s="203"/>
      <c r="R51" s="203">
        <f t="shared" si="7"/>
        <v>0</v>
      </c>
      <c r="S51" s="203"/>
      <c r="V51">
        <v>100</v>
      </c>
      <c r="W51">
        <f t="shared" si="4"/>
        <v>-100</v>
      </c>
    </row>
    <row r="52" spans="2:23" x14ac:dyDescent="0.3">
      <c r="B52">
        <v>7070</v>
      </c>
      <c r="D52" s="203">
        <v>515.20000000000005</v>
      </c>
      <c r="E52" s="203"/>
      <c r="F52" s="203">
        <f t="shared" si="5"/>
        <v>515.20000000000005</v>
      </c>
      <c r="H52" t="s">
        <v>420</v>
      </c>
      <c r="I52" t="s">
        <v>419</v>
      </c>
      <c r="K52" s="209">
        <v>0.79</v>
      </c>
      <c r="N52" s="203"/>
      <c r="O52" s="203">
        <f t="shared" si="6"/>
        <v>407.01</v>
      </c>
      <c r="P52" s="203"/>
      <c r="Q52" s="203"/>
      <c r="R52" s="203">
        <f t="shared" si="7"/>
        <v>108.19000000000005</v>
      </c>
      <c r="S52" s="203"/>
      <c r="V52">
        <v>1000</v>
      </c>
      <c r="W52">
        <f t="shared" si="4"/>
        <v>-484.79999999999995</v>
      </c>
    </row>
    <row r="53" spans="2:23" x14ac:dyDescent="0.3">
      <c r="B53">
        <v>7075</v>
      </c>
      <c r="D53" s="203">
        <v>0</v>
      </c>
      <c r="E53" s="203"/>
      <c r="F53" s="203">
        <f t="shared" si="5"/>
        <v>0</v>
      </c>
      <c r="H53" t="s">
        <v>420</v>
      </c>
      <c r="I53" t="s">
        <v>419</v>
      </c>
      <c r="K53" s="209">
        <v>0.79</v>
      </c>
      <c r="N53" s="203"/>
      <c r="O53" s="203">
        <f t="shared" si="6"/>
        <v>0</v>
      </c>
      <c r="P53" s="203"/>
      <c r="Q53" s="203"/>
      <c r="R53" s="203">
        <f t="shared" si="7"/>
        <v>0</v>
      </c>
      <c r="S53" s="203"/>
      <c r="V53">
        <v>500</v>
      </c>
      <c r="W53">
        <f t="shared" si="4"/>
        <v>-500</v>
      </c>
    </row>
    <row r="54" spans="2:23" x14ac:dyDescent="0.3">
      <c r="B54">
        <v>7080</v>
      </c>
      <c r="D54" s="203">
        <v>279.88</v>
      </c>
      <c r="E54" s="203"/>
      <c r="F54" s="203">
        <f t="shared" si="5"/>
        <v>279.88</v>
      </c>
      <c r="H54" t="s">
        <v>420</v>
      </c>
      <c r="I54" t="s">
        <v>419</v>
      </c>
      <c r="K54" s="209">
        <v>0.79</v>
      </c>
      <c r="N54" s="203"/>
      <c r="O54" s="203">
        <f t="shared" si="6"/>
        <v>221.11</v>
      </c>
      <c r="P54" s="203"/>
      <c r="Q54" s="203"/>
      <c r="R54" s="203">
        <f t="shared" si="7"/>
        <v>58.769999999999982</v>
      </c>
      <c r="S54" s="203"/>
      <c r="V54">
        <v>210</v>
      </c>
      <c r="W54">
        <f t="shared" si="4"/>
        <v>69.88</v>
      </c>
    </row>
    <row r="55" spans="2:23" x14ac:dyDescent="0.3">
      <c r="B55">
        <v>7120</v>
      </c>
      <c r="D55" s="203">
        <v>0</v>
      </c>
      <c r="E55" s="203"/>
      <c r="F55" s="203">
        <f t="shared" si="5"/>
        <v>0</v>
      </c>
      <c r="H55" t="s">
        <v>420</v>
      </c>
      <c r="I55" t="s">
        <v>419</v>
      </c>
      <c r="K55" s="209">
        <v>0.79</v>
      </c>
      <c r="N55" s="203"/>
      <c r="O55" s="203">
        <f t="shared" si="6"/>
        <v>0</v>
      </c>
      <c r="P55" s="203"/>
      <c r="Q55" s="203"/>
      <c r="R55" s="203">
        <f t="shared" si="7"/>
        <v>0</v>
      </c>
      <c r="S55" s="203"/>
      <c r="V55">
        <v>0</v>
      </c>
      <c r="W55">
        <f t="shared" si="4"/>
        <v>0</v>
      </c>
    </row>
    <row r="56" spans="2:23" x14ac:dyDescent="0.3">
      <c r="B56">
        <v>7150</v>
      </c>
      <c r="D56" s="203">
        <v>0</v>
      </c>
      <c r="E56" s="203"/>
      <c r="F56" s="203">
        <f t="shared" si="5"/>
        <v>0</v>
      </c>
      <c r="H56" t="s">
        <v>420</v>
      </c>
      <c r="I56" t="s">
        <v>419</v>
      </c>
      <c r="K56" s="209">
        <v>0.79</v>
      </c>
      <c r="N56" s="203"/>
      <c r="O56" s="203">
        <f t="shared" si="6"/>
        <v>0</v>
      </c>
      <c r="P56" s="203"/>
      <c r="Q56" s="203"/>
      <c r="R56" s="203">
        <f t="shared" si="7"/>
        <v>0</v>
      </c>
      <c r="S56" s="203"/>
      <c r="V56">
        <v>300</v>
      </c>
      <c r="W56">
        <f t="shared" si="4"/>
        <v>-300</v>
      </c>
    </row>
    <row r="57" spans="2:23" x14ac:dyDescent="0.3">
      <c r="B57">
        <v>7160</v>
      </c>
      <c r="D57" s="203">
        <v>0</v>
      </c>
      <c r="E57" s="203"/>
      <c r="F57" s="203">
        <f t="shared" si="5"/>
        <v>0</v>
      </c>
      <c r="H57" t="s">
        <v>420</v>
      </c>
      <c r="I57" t="s">
        <v>419</v>
      </c>
      <c r="K57" s="209">
        <v>0.79</v>
      </c>
      <c r="N57" s="203"/>
      <c r="O57" s="203">
        <f t="shared" si="6"/>
        <v>0</v>
      </c>
      <c r="P57" s="203"/>
      <c r="Q57" s="203"/>
      <c r="R57" s="203">
        <f t="shared" si="7"/>
        <v>0</v>
      </c>
      <c r="S57" s="203"/>
      <c r="V57">
        <v>500</v>
      </c>
      <c r="W57">
        <f t="shared" si="4"/>
        <v>-500</v>
      </c>
    </row>
    <row r="58" spans="2:23" x14ac:dyDescent="0.3">
      <c r="D58" s="203"/>
      <c r="E58" s="203"/>
      <c r="F58" s="203">
        <f t="shared" si="5"/>
        <v>0</v>
      </c>
      <c r="N58" s="203"/>
      <c r="O58" s="203"/>
      <c r="P58" s="203"/>
      <c r="Q58" s="203"/>
      <c r="R58" s="203"/>
      <c r="S58" s="203"/>
    </row>
    <row r="59" spans="2:23" x14ac:dyDescent="0.3">
      <c r="B59">
        <v>8000</v>
      </c>
      <c r="D59" s="203">
        <v>498.24</v>
      </c>
      <c r="E59" s="203"/>
      <c r="F59" s="203">
        <f t="shared" si="5"/>
        <v>498.24</v>
      </c>
      <c r="H59" t="s">
        <v>420</v>
      </c>
      <c r="I59" t="s">
        <v>419</v>
      </c>
      <c r="K59" s="209">
        <v>0.79</v>
      </c>
      <c r="N59" s="203"/>
      <c r="O59" s="203">
        <f t="shared" ref="O59:O64" si="8">ROUND(F59*K59,2)</f>
        <v>393.61</v>
      </c>
      <c r="P59" s="203"/>
      <c r="Q59" s="203"/>
      <c r="R59" s="203">
        <f>F59-O59</f>
        <v>104.63</v>
      </c>
      <c r="S59" s="203"/>
      <c r="V59">
        <v>531</v>
      </c>
      <c r="W59">
        <f t="shared" ref="W59:W65" si="9">F59-V59</f>
        <v>-32.759999999999991</v>
      </c>
    </row>
    <row r="60" spans="2:23" x14ac:dyDescent="0.3">
      <c r="B60">
        <v>8010</v>
      </c>
      <c r="D60" s="203">
        <v>73.73</v>
      </c>
      <c r="E60" s="203"/>
      <c r="F60" s="203">
        <f t="shared" si="5"/>
        <v>73.73</v>
      </c>
      <c r="H60" t="s">
        <v>420</v>
      </c>
      <c r="I60" t="s">
        <v>419</v>
      </c>
      <c r="K60" s="209">
        <v>0.79</v>
      </c>
      <c r="N60" s="203"/>
      <c r="O60" s="203">
        <f t="shared" si="8"/>
        <v>58.25</v>
      </c>
      <c r="P60" s="203"/>
      <c r="Q60" s="203"/>
      <c r="R60" s="203">
        <f>F60-O60</f>
        <v>15.480000000000004</v>
      </c>
      <c r="S60" s="203"/>
      <c r="V60">
        <v>68</v>
      </c>
      <c r="W60">
        <f t="shared" si="9"/>
        <v>5.730000000000004</v>
      </c>
    </row>
    <row r="61" spans="2:23" x14ac:dyDescent="0.3">
      <c r="B61">
        <v>8018</v>
      </c>
      <c r="D61" s="203">
        <v>0</v>
      </c>
      <c r="E61" s="203"/>
      <c r="F61" s="203">
        <f t="shared" si="5"/>
        <v>0</v>
      </c>
      <c r="H61" t="s">
        <v>420</v>
      </c>
      <c r="I61" t="s">
        <v>419</v>
      </c>
      <c r="K61" s="209">
        <v>0.79</v>
      </c>
      <c r="N61" s="203"/>
      <c r="O61" s="203">
        <f t="shared" si="8"/>
        <v>0</v>
      </c>
      <c r="P61" s="203"/>
      <c r="Q61" s="203"/>
      <c r="R61" s="203">
        <f>F61-O61</f>
        <v>0</v>
      </c>
      <c r="S61" s="203"/>
      <c r="W61">
        <f t="shared" si="9"/>
        <v>0</v>
      </c>
    </row>
    <row r="62" spans="2:23" x14ac:dyDescent="0.3">
      <c r="B62">
        <v>8030</v>
      </c>
      <c r="D62" s="203">
        <v>0</v>
      </c>
      <c r="E62" s="203"/>
      <c r="F62" s="203">
        <f t="shared" si="5"/>
        <v>0</v>
      </c>
      <c r="H62" t="s">
        <v>420</v>
      </c>
      <c r="I62" t="s">
        <v>419</v>
      </c>
      <c r="K62" s="209">
        <v>0.79</v>
      </c>
      <c r="N62" s="203"/>
      <c r="O62" s="203">
        <f t="shared" si="8"/>
        <v>0</v>
      </c>
      <c r="P62" s="203"/>
      <c r="Q62" s="203"/>
      <c r="R62" s="203">
        <f>F62-O62</f>
        <v>0</v>
      </c>
      <c r="S62" s="203"/>
      <c r="V62">
        <v>926</v>
      </c>
      <c r="W62">
        <f t="shared" si="9"/>
        <v>-926</v>
      </c>
    </row>
    <row r="63" spans="2:23" x14ac:dyDescent="0.3">
      <c r="B63">
        <v>8040</v>
      </c>
      <c r="D63" s="203">
        <v>5325</v>
      </c>
      <c r="E63" s="203"/>
      <c r="F63" s="203">
        <f t="shared" si="5"/>
        <v>5325</v>
      </c>
      <c r="H63" t="s">
        <v>420</v>
      </c>
      <c r="I63" t="s">
        <v>419</v>
      </c>
      <c r="K63" s="209">
        <v>0.79</v>
      </c>
      <c r="N63" s="203"/>
      <c r="O63" s="203">
        <f t="shared" si="8"/>
        <v>4206.75</v>
      </c>
      <c r="P63" s="203"/>
      <c r="Q63" s="203"/>
      <c r="R63" s="203">
        <f>F63-O63</f>
        <v>1118.25</v>
      </c>
      <c r="S63" s="203"/>
      <c r="V63">
        <v>3600</v>
      </c>
      <c r="W63">
        <f t="shared" si="9"/>
        <v>1725</v>
      </c>
    </row>
    <row r="64" spans="2:23" x14ac:dyDescent="0.3">
      <c r="B64">
        <v>8056</v>
      </c>
      <c r="D64" s="203">
        <v>0</v>
      </c>
      <c r="E64" s="203"/>
      <c r="F64" s="203">
        <f t="shared" si="5"/>
        <v>0</v>
      </c>
      <c r="H64" t="s">
        <v>420</v>
      </c>
      <c r="I64" t="s">
        <v>419</v>
      </c>
      <c r="K64" s="209">
        <v>0.79</v>
      </c>
      <c r="N64" s="203"/>
      <c r="O64" s="203">
        <f t="shared" si="8"/>
        <v>0</v>
      </c>
      <c r="P64" s="203"/>
      <c r="Q64" s="203"/>
      <c r="R64" s="203"/>
      <c r="S64" s="203"/>
      <c r="V64">
        <v>500</v>
      </c>
      <c r="W64">
        <f t="shared" si="9"/>
        <v>-500</v>
      </c>
    </row>
    <row r="65" spans="2:23" x14ac:dyDescent="0.3">
      <c r="B65">
        <v>8060</v>
      </c>
      <c r="D65" s="203">
        <v>8696.9699999999993</v>
      </c>
      <c r="E65" s="203">
        <v>-8696.9699999999993</v>
      </c>
      <c r="F65" s="203">
        <f t="shared" si="5"/>
        <v>0</v>
      </c>
      <c r="K65" s="209"/>
      <c r="N65" s="203"/>
      <c r="O65" s="203"/>
      <c r="P65" s="203"/>
      <c r="Q65" s="203"/>
      <c r="R65" s="203"/>
      <c r="S65" s="203"/>
      <c r="W65">
        <f t="shared" si="9"/>
        <v>0</v>
      </c>
    </row>
    <row r="66" spans="2:23" x14ac:dyDescent="0.3">
      <c r="D66" s="203"/>
      <c r="E66" s="203"/>
      <c r="F66" s="203">
        <f t="shared" si="5"/>
        <v>0</v>
      </c>
      <c r="N66" s="203"/>
      <c r="O66" s="203"/>
      <c r="P66" s="203"/>
      <c r="Q66" s="203"/>
      <c r="R66" s="203"/>
      <c r="S66" s="203"/>
    </row>
    <row r="67" spans="2:23" x14ac:dyDescent="0.3">
      <c r="B67">
        <v>9000</v>
      </c>
      <c r="D67" s="203">
        <v>1366.13</v>
      </c>
      <c r="E67" s="203"/>
      <c r="F67" s="203">
        <f t="shared" si="5"/>
        <v>1366.13</v>
      </c>
      <c r="I67" t="s">
        <v>418</v>
      </c>
      <c r="N67" s="203"/>
      <c r="O67" s="203"/>
      <c r="P67" s="203"/>
      <c r="Q67" s="203"/>
      <c r="R67" s="203"/>
      <c r="S67" s="203">
        <f>F67</f>
        <v>1366.13</v>
      </c>
    </row>
    <row r="68" spans="2:23" x14ac:dyDescent="0.3">
      <c r="B68">
        <v>9001</v>
      </c>
      <c r="D68" s="203">
        <v>315</v>
      </c>
      <c r="E68" s="203"/>
      <c r="F68" s="203">
        <f t="shared" si="5"/>
        <v>315</v>
      </c>
      <c r="I68" t="s">
        <v>418</v>
      </c>
      <c r="N68" s="203"/>
      <c r="O68" s="203"/>
      <c r="P68" s="203"/>
      <c r="Q68" s="203"/>
      <c r="R68" s="203"/>
      <c r="S68" s="203">
        <f>F68</f>
        <v>315</v>
      </c>
    </row>
    <row r="69" spans="2:23" x14ac:dyDescent="0.3">
      <c r="B69">
        <v>9004</v>
      </c>
      <c r="D69" s="203">
        <v>0</v>
      </c>
      <c r="E69" s="203"/>
      <c r="F69" s="203">
        <f t="shared" si="5"/>
        <v>0</v>
      </c>
      <c r="I69" t="s">
        <v>418</v>
      </c>
      <c r="N69" s="203"/>
      <c r="O69" s="203"/>
      <c r="P69" s="203"/>
      <c r="Q69" s="203"/>
      <c r="R69" s="203"/>
      <c r="S69" s="203">
        <f>F69</f>
        <v>0</v>
      </c>
    </row>
    <row r="70" spans="2:23" x14ac:dyDescent="0.3">
      <c r="B70">
        <v>9006</v>
      </c>
      <c r="D70" s="203">
        <v>3993.5</v>
      </c>
      <c r="E70" s="203"/>
      <c r="F70" s="203">
        <f t="shared" si="5"/>
        <v>3993.5</v>
      </c>
      <c r="I70" t="s">
        <v>418</v>
      </c>
      <c r="N70" s="203"/>
      <c r="O70" s="203"/>
      <c r="P70" s="203"/>
      <c r="Q70" s="203"/>
      <c r="R70" s="203"/>
      <c r="S70" s="203">
        <f>F70</f>
        <v>3993.5</v>
      </c>
    </row>
    <row r="71" spans="2:23" x14ac:dyDescent="0.3">
      <c r="B71">
        <v>9009</v>
      </c>
      <c r="D71" s="203">
        <v>0</v>
      </c>
      <c r="E71" s="203"/>
      <c r="F71" s="203">
        <f t="shared" si="5"/>
        <v>0</v>
      </c>
      <c r="N71" s="203"/>
      <c r="O71" s="203"/>
      <c r="P71" s="203"/>
      <c r="Q71" s="203"/>
      <c r="R71" s="203"/>
      <c r="S71" s="203">
        <f>F71</f>
        <v>0</v>
      </c>
    </row>
    <row r="72" spans="2:23" x14ac:dyDescent="0.3">
      <c r="D72" s="203"/>
      <c r="E72" s="203"/>
      <c r="F72" s="203">
        <f t="shared" si="5"/>
        <v>0</v>
      </c>
      <c r="N72" s="203"/>
      <c r="O72" s="203"/>
      <c r="P72" s="203"/>
      <c r="Q72" s="203"/>
      <c r="R72" s="203"/>
      <c r="S72" s="203"/>
    </row>
    <row r="73" spans="2:23" x14ac:dyDescent="0.3">
      <c r="B73">
        <v>9013</v>
      </c>
      <c r="D73" s="203">
        <v>643.29999999999995</v>
      </c>
      <c r="E73" s="203"/>
      <c r="F73" s="203">
        <f t="shared" si="5"/>
        <v>643.29999999999995</v>
      </c>
      <c r="H73" t="s">
        <v>420</v>
      </c>
      <c r="I73" t="s">
        <v>419</v>
      </c>
      <c r="K73" s="209">
        <v>0.79</v>
      </c>
      <c r="N73" s="203"/>
      <c r="O73" s="203">
        <f>ROUND(F73*K73,2)</f>
        <v>508.21</v>
      </c>
      <c r="P73" s="203"/>
      <c r="Q73" s="203"/>
      <c r="R73" s="203">
        <f>F73-O73</f>
        <v>135.08999999999997</v>
      </c>
      <c r="S73" s="203"/>
      <c r="V73">
        <v>700</v>
      </c>
      <c r="W73">
        <f>F73-V73</f>
        <v>-56.700000000000045</v>
      </c>
    </row>
    <row r="74" spans="2:23" x14ac:dyDescent="0.3">
      <c r="D74" s="203"/>
      <c r="E74" s="203"/>
      <c r="F74" s="203">
        <f t="shared" si="5"/>
        <v>0</v>
      </c>
      <c r="N74" s="203"/>
      <c r="O74" s="203"/>
      <c r="P74" s="203"/>
      <c r="Q74" s="203"/>
      <c r="R74" s="203"/>
      <c r="S74" s="203"/>
    </row>
    <row r="75" spans="2:23" x14ac:dyDescent="0.3">
      <c r="B75">
        <v>9018</v>
      </c>
      <c r="D75" s="203">
        <v>8907.2199999999993</v>
      </c>
      <c r="E75" s="203"/>
      <c r="F75" s="203">
        <f t="shared" si="5"/>
        <v>8907.2199999999993</v>
      </c>
      <c r="I75" t="s">
        <v>418</v>
      </c>
      <c r="N75" s="203"/>
      <c r="O75" s="203"/>
      <c r="P75" s="203"/>
      <c r="Q75" s="203"/>
      <c r="R75" s="203"/>
      <c r="S75" s="203">
        <f>D75</f>
        <v>8907.2199999999993</v>
      </c>
    </row>
    <row r="76" spans="2:23" x14ac:dyDescent="0.3">
      <c r="B76">
        <v>9928</v>
      </c>
      <c r="D76" s="203">
        <v>0</v>
      </c>
      <c r="E76" s="203"/>
      <c r="F76" s="203">
        <f t="shared" si="5"/>
        <v>0</v>
      </c>
      <c r="N76" s="203"/>
      <c r="O76" s="203"/>
      <c r="P76" s="203"/>
      <c r="Q76" s="203"/>
      <c r="R76" s="203"/>
      <c r="S76" s="203"/>
      <c r="V76">
        <v>50</v>
      </c>
      <c r="W76">
        <f>F76-V76</f>
        <v>-50</v>
      </c>
    </row>
    <row r="77" spans="2:23" x14ac:dyDescent="0.3">
      <c r="N77" s="203"/>
      <c r="O77" s="203"/>
      <c r="P77" s="203"/>
      <c r="Q77" s="203"/>
      <c r="R77" s="203"/>
      <c r="S77" s="203"/>
    </row>
    <row r="78" spans="2:23" x14ac:dyDescent="0.3">
      <c r="F78" s="208">
        <f>SUM(F5:F77)</f>
        <v>214929.42000000004</v>
      </c>
      <c r="N78" s="208">
        <f t="shared" ref="N78:S78" si="10">SUM(N5:N77)</f>
        <v>65136.700000000004</v>
      </c>
      <c r="O78" s="208">
        <f t="shared" si="10"/>
        <v>17861.200000000004</v>
      </c>
      <c r="P78" s="208">
        <f t="shared" si="10"/>
        <v>48842.630000000005</v>
      </c>
      <c r="Q78" s="208">
        <f t="shared" si="10"/>
        <v>50141.72</v>
      </c>
      <c r="R78" s="208">
        <f t="shared" si="10"/>
        <v>17731.38</v>
      </c>
      <c r="S78" s="208">
        <f t="shared" si="10"/>
        <v>14581.849999999999</v>
      </c>
    </row>
    <row r="79" spans="2:23" x14ac:dyDescent="0.3">
      <c r="N79" s="203"/>
      <c r="O79" s="203"/>
      <c r="P79" s="203"/>
      <c r="Q79" s="203"/>
      <c r="R79" s="203"/>
      <c r="S79" s="203"/>
    </row>
    <row r="80" spans="2:23" x14ac:dyDescent="0.3">
      <c r="F80" s="207"/>
      <c r="N80" s="203"/>
      <c r="O80" s="203"/>
      <c r="P80" s="203"/>
      <c r="Q80" s="203"/>
      <c r="R80" s="203"/>
      <c r="S80" s="203"/>
    </row>
    <row r="81" spans="6:21" x14ac:dyDescent="0.3">
      <c r="F81" s="207" t="s">
        <v>417</v>
      </c>
      <c r="L81">
        <v>0.84311000000000003</v>
      </c>
      <c r="N81" s="206">
        <f>ROUND(N78*$L81,2)</f>
        <v>54917.4</v>
      </c>
      <c r="O81" s="206">
        <f>ROUND(O78*$L81,2)</f>
        <v>15058.96</v>
      </c>
      <c r="P81" s="206">
        <f>ROUND(P78*$L81,2)</f>
        <v>41179.71</v>
      </c>
      <c r="Q81" s="206">
        <f>ROUND(Q78*$L81,2)</f>
        <v>42274.99</v>
      </c>
      <c r="R81" s="206"/>
      <c r="S81" s="206">
        <f>SUM(N78:Q78)-SUM(N81:Q81)</f>
        <v>28551.190000000031</v>
      </c>
      <c r="T81" s="214">
        <f>S81*6%</f>
        <v>1713.0714000000019</v>
      </c>
      <c r="U81" s="209">
        <v>0.06</v>
      </c>
    </row>
    <row r="82" spans="6:21" x14ac:dyDescent="0.3">
      <c r="N82" s="203"/>
      <c r="O82" s="203"/>
      <c r="P82" s="203"/>
      <c r="Q82" s="203"/>
      <c r="R82" s="203"/>
      <c r="S82" s="206">
        <f>R78+S78</f>
        <v>32313.23</v>
      </c>
    </row>
    <row r="83" spans="6:21" x14ac:dyDescent="0.3">
      <c r="N83" s="206"/>
      <c r="O83" s="206"/>
      <c r="P83" s="206"/>
      <c r="Q83" s="206"/>
      <c r="R83" s="203"/>
      <c r="S83" s="205">
        <f>SUM(S81,S82)</f>
        <v>60864.420000000027</v>
      </c>
    </row>
    <row r="84" spans="6:21" x14ac:dyDescent="0.3">
      <c r="N84" s="419" t="s">
        <v>416</v>
      </c>
      <c r="O84" s="419"/>
      <c r="P84" s="419"/>
      <c r="Q84" s="419"/>
      <c r="R84" s="203"/>
      <c r="S84" s="204" t="s">
        <v>415</v>
      </c>
    </row>
    <row r="85" spans="6:21" x14ac:dyDescent="0.3">
      <c r="N85" s="203"/>
      <c r="O85" s="203"/>
      <c r="P85" s="203"/>
      <c r="Q85" s="203"/>
      <c r="R85" s="203"/>
      <c r="S85" s="203"/>
    </row>
    <row r="86" spans="6:21" x14ac:dyDescent="0.3">
      <c r="S86" s="203"/>
    </row>
    <row r="87" spans="6:21" x14ac:dyDescent="0.3">
      <c r="S87" s="213"/>
    </row>
  </sheetData>
  <mergeCells count="1">
    <mergeCell ref="N84:Q84"/>
  </mergeCell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66309-7BD5-4DAF-B5B7-23C2677EEE84}">
  <sheetPr>
    <tabColor rgb="FF00B050"/>
  </sheetPr>
  <dimension ref="A1:P103"/>
  <sheetViews>
    <sheetView view="pageBreakPreview" zoomScale="110" zoomScaleNormal="100" zoomScaleSheetLayoutView="110" workbookViewId="0">
      <pane xSplit="6" ySplit="3" topLeftCell="H4" activePane="bottomRight" state="frozen"/>
      <selection pane="topRight" activeCell="G1" sqref="G1"/>
      <selection pane="bottomLeft" activeCell="A4" sqref="A4"/>
      <selection pane="bottomRight" activeCell="M61" sqref="M61"/>
    </sheetView>
  </sheetViews>
  <sheetFormatPr defaultColWidth="8.88671875" defaultRowHeight="13.8" x14ac:dyDescent="0.3"/>
  <cols>
    <col min="1" max="1" width="10.44140625" style="37" customWidth="1"/>
    <col min="2" max="2" width="6.6640625" style="37" bestFit="1" customWidth="1"/>
    <col min="3" max="3" width="42.77734375" style="38" bestFit="1" customWidth="1"/>
    <col min="4" max="4" width="9.5546875" style="199" bestFit="1" customWidth="1"/>
    <col min="5" max="6" width="8.5546875" style="199" bestFit="1" customWidth="1"/>
    <col min="7" max="9" width="8.5546875" style="320" bestFit="1" customWidth="1"/>
    <col min="10" max="10" width="9.109375" style="54" bestFit="1" customWidth="1"/>
    <col min="11" max="11" width="9.109375" style="344" bestFit="1" customWidth="1"/>
    <col min="12" max="12" width="70.77734375" style="144" bestFit="1" customWidth="1"/>
    <col min="13" max="15" width="52.5546875" style="144" customWidth="1"/>
    <col min="16" max="16" width="9.77734375" style="39" bestFit="1" customWidth="1"/>
    <col min="17" max="16384" width="8.88671875" style="39"/>
  </cols>
  <sheetData>
    <row r="1" spans="1:16" s="140" customFormat="1" x14ac:dyDescent="0.3">
      <c r="A1" s="139" t="s">
        <v>673</v>
      </c>
      <c r="D1" s="196"/>
      <c r="E1" s="196"/>
      <c r="F1" s="196"/>
      <c r="G1" s="196"/>
      <c r="H1" s="196"/>
      <c r="I1" s="196"/>
      <c r="J1" s="141"/>
      <c r="K1" s="343"/>
      <c r="L1" s="142"/>
      <c r="M1" s="142"/>
      <c r="N1" s="142"/>
      <c r="O1" s="142"/>
    </row>
    <row r="2" spans="1:16" x14ac:dyDescent="0.3">
      <c r="A2" s="143"/>
      <c r="B2" s="39"/>
      <c r="C2" s="39"/>
      <c r="D2" s="197"/>
      <c r="E2" s="197"/>
      <c r="F2" s="197"/>
      <c r="G2" s="197"/>
      <c r="H2" s="197"/>
      <c r="I2" s="197"/>
    </row>
    <row r="3" spans="1:16" s="146" customFormat="1" ht="27.6" x14ac:dyDescent="0.3">
      <c r="A3" s="161" t="s">
        <v>140</v>
      </c>
      <c r="B3" s="161" t="s">
        <v>141</v>
      </c>
      <c r="C3" s="161" t="s">
        <v>69</v>
      </c>
      <c r="D3" s="183" t="str">
        <f>CONSOLE!B4</f>
        <v>ACTUAL 2020-21</v>
      </c>
      <c r="E3" s="183" t="str">
        <f>CONSOLE!C4</f>
        <v>ACTUAL 2021-22</v>
      </c>
      <c r="F3" s="183" t="str">
        <f>CONSOLE!D4</f>
        <v>ACTUAL 2022-23</v>
      </c>
      <c r="G3" s="183" t="str">
        <f>CONSOLE!E4</f>
        <v>BUDGET 2021-22</v>
      </c>
      <c r="H3" s="183" t="str">
        <f>CONSOLE!F4</f>
        <v>BUDGET 2022-23</v>
      </c>
      <c r="I3" s="183" t="str">
        <f>CONSOLE!G4</f>
        <v>BUDGET 2023-24</v>
      </c>
      <c r="J3" s="161" t="str">
        <f>CONSOLE!H4</f>
        <v xml:space="preserve">
VARIANCE</v>
      </c>
      <c r="K3" s="345" t="str">
        <f>CONSOLE!I4</f>
        <v>% CHANGE</v>
      </c>
      <c r="L3" s="161" t="s">
        <v>235</v>
      </c>
      <c r="M3" s="161"/>
      <c r="N3" s="161"/>
      <c r="O3" s="161"/>
    </row>
    <row r="4" spans="1:16" x14ac:dyDescent="0.3">
      <c r="A4" s="147" t="s">
        <v>3</v>
      </c>
      <c r="B4" s="148" t="s">
        <v>142</v>
      </c>
      <c r="C4" s="38" t="s">
        <v>143</v>
      </c>
      <c r="D4" s="198">
        <f>('TB21'!D36-D5-D6-D7)</f>
        <v>81600.640000000014</v>
      </c>
      <c r="E4" s="198">
        <f>'WBC OFFER 2022'!I28+'WBC OFFER 2022'!I53+'WBC OFFER 2022'!I55</f>
        <v>81478.755628910207</v>
      </c>
      <c r="F4" s="198">
        <f>E4*1.05</f>
        <v>85552.693410355714</v>
      </c>
      <c r="G4" s="320">
        <v>86970</v>
      </c>
      <c r="H4" s="320">
        <f>'WBC OFFER 2023'!I12+'WBC OFFER 2023'!I14+'WBC OFFER 2023'!I16</f>
        <v>90935.777602662376</v>
      </c>
      <c r="I4" s="320">
        <f>'WBC OFFER 2023'!O12+'WBC OFFER 2023'!O14+'WBC OFFER 2023'!O16</f>
        <v>95355.895748781943</v>
      </c>
      <c r="J4" s="329">
        <f t="shared" ref="J4:J7" si="0">IFERROR((I4-H4),"")</f>
        <v>4420.1181461195665</v>
      </c>
      <c r="K4" s="333">
        <f>IF(I4&lt;&gt;0,IFERROR((I4-H4)/H4,1),IFERROR((I4-H4)/H4,0))</f>
        <v>4.8607030837004205E-2</v>
      </c>
      <c r="L4" s="334" t="s">
        <v>702</v>
      </c>
      <c r="M4" s="334"/>
      <c r="N4" s="334"/>
      <c r="O4" s="334"/>
      <c r="P4" s="39">
        <f>G4/12</f>
        <v>7247.5</v>
      </c>
    </row>
    <row r="5" spans="1:16" x14ac:dyDescent="0.3">
      <c r="A5" s="147" t="s">
        <v>5</v>
      </c>
      <c r="B5" s="148" t="s">
        <v>144</v>
      </c>
      <c r="C5" s="38" t="s">
        <v>4</v>
      </c>
      <c r="D5" s="198">
        <f>G5*1.05</f>
        <v>33023.550000000003</v>
      </c>
      <c r="E5" s="198">
        <f>'WBC OFFER 2022'!I37</f>
        <v>31665.537420121364</v>
      </c>
      <c r="F5" s="198">
        <f t="shared" ref="F5:F7" si="1">E5*1.05</f>
        <v>33248.814291127434</v>
      </c>
      <c r="G5" s="320">
        <v>31451</v>
      </c>
      <c r="H5" s="320">
        <f>'WBC OFFER 2023'!I49</f>
        <v>48780.057866153802</v>
      </c>
      <c r="I5" s="320">
        <f>'WBC OFFER 2023'!O49</f>
        <v>61503.640206963988</v>
      </c>
      <c r="J5" s="329">
        <f t="shared" si="0"/>
        <v>12723.582340810186</v>
      </c>
      <c r="K5" s="333">
        <f t="shared" ref="K5:K8" si="2">IF(I5&lt;&gt;0,IFERROR((I5-H5)/H5,1),IFERROR((I5-H5)/H5,0))</f>
        <v>0.26083573692598022</v>
      </c>
      <c r="L5" s="334" t="s">
        <v>702</v>
      </c>
      <c r="M5" s="334"/>
      <c r="N5" s="334"/>
      <c r="O5" s="334"/>
      <c r="P5" s="39">
        <f>G5/12</f>
        <v>2620.9166666666665</v>
      </c>
    </row>
    <row r="6" spans="1:16" x14ac:dyDescent="0.3">
      <c r="A6" s="147" t="s">
        <v>7</v>
      </c>
      <c r="B6" s="148" t="s">
        <v>145</v>
      </c>
      <c r="C6" s="38" t="s">
        <v>6</v>
      </c>
      <c r="D6" s="198">
        <f t="shared" ref="D6:D7" si="3">G6*1.05</f>
        <v>78167.25</v>
      </c>
      <c r="E6" s="198">
        <f>'WBC OFFER 2022'!I46-'WBC OFFER 2022'!I37</f>
        <v>77888.51975166006</v>
      </c>
      <c r="F6" s="198">
        <f t="shared" si="1"/>
        <v>81782.945739243063</v>
      </c>
      <c r="G6" s="320">
        <v>74445</v>
      </c>
      <c r="H6" s="320">
        <f>'WBC OFFER 2023'!I48</f>
        <v>80461.398581003159</v>
      </c>
      <c r="I6" s="320">
        <f>'WBC OFFER 2023'!O48</f>
        <v>74019.859699139284</v>
      </c>
      <c r="J6" s="329">
        <f t="shared" si="0"/>
        <v>-6441.5388818638748</v>
      </c>
      <c r="K6" s="333">
        <f t="shared" si="2"/>
        <v>-8.0057505778736424E-2</v>
      </c>
      <c r="L6" s="334" t="s">
        <v>702</v>
      </c>
      <c r="M6" s="334"/>
      <c r="N6" s="334"/>
      <c r="O6" s="334"/>
      <c r="P6" s="39">
        <f>G6/12</f>
        <v>6203.75</v>
      </c>
    </row>
    <row r="7" spans="1:16" x14ac:dyDescent="0.3">
      <c r="A7" s="147" t="s">
        <v>9</v>
      </c>
      <c r="B7" s="148" t="s">
        <v>146</v>
      </c>
      <c r="C7" s="38" t="s">
        <v>8</v>
      </c>
      <c r="D7" s="198">
        <f t="shared" si="3"/>
        <v>1569.75</v>
      </c>
      <c r="E7" s="198">
        <f>'WBC OFFER 2022'!I50</f>
        <v>1575.2515449578259</v>
      </c>
      <c r="F7" s="198">
        <f t="shared" si="1"/>
        <v>1654.0141222057173</v>
      </c>
      <c r="G7" s="320">
        <v>1495</v>
      </c>
      <c r="H7" s="320">
        <f>'WBC OFFER 2023'!I15</f>
        <v>1629.0409885765</v>
      </c>
      <c r="I7" s="320">
        <f>'WBC OFFER 2023'!O15</f>
        <v>1708.2238341429822</v>
      </c>
      <c r="J7" s="329">
        <f t="shared" si="0"/>
        <v>79.182845566482229</v>
      </c>
      <c r="K7" s="333">
        <f t="shared" si="2"/>
        <v>4.8607030837004496E-2</v>
      </c>
      <c r="L7" s="334" t="s">
        <v>702</v>
      </c>
      <c r="M7" s="334"/>
      <c r="N7" s="334"/>
      <c r="O7" s="334"/>
      <c r="P7" s="39">
        <f>G7/12</f>
        <v>124.58333333333333</v>
      </c>
    </row>
    <row r="8" spans="1:16" x14ac:dyDescent="0.3">
      <c r="A8" s="147"/>
      <c r="B8" s="148" t="s">
        <v>476</v>
      </c>
      <c r="C8" s="38" t="s">
        <v>657</v>
      </c>
      <c r="D8" s="198"/>
      <c r="E8" s="198"/>
      <c r="F8" s="198">
        <f>CUMTB23!D33*'WBC OFFER 2023'!G8</f>
        <v>28008.8549070632</v>
      </c>
      <c r="J8" s="329"/>
      <c r="K8" s="333">
        <f t="shared" si="2"/>
        <v>0</v>
      </c>
      <c r="L8" s="334" t="s">
        <v>695</v>
      </c>
      <c r="M8" s="335"/>
      <c r="N8" s="335"/>
      <c r="O8" s="335"/>
    </row>
    <row r="9" spans="1:16" s="140" customFormat="1" ht="14.4" thickBot="1" x14ac:dyDescent="0.35">
      <c r="A9" s="178"/>
      <c r="B9" s="150"/>
      <c r="C9" s="139" t="s">
        <v>81</v>
      </c>
      <c r="D9" s="337">
        <f t="shared" ref="D9:J9" si="4">SUBTOTAL(9,D4:D7)</f>
        <v>194361.19</v>
      </c>
      <c r="E9" s="337">
        <f>SUBTOTAL(9,E4:E8)</f>
        <v>192608.06434564947</v>
      </c>
      <c r="F9" s="337">
        <f>SUBTOTAL(9,F4:F8)</f>
        <v>230247.32246999512</v>
      </c>
      <c r="G9" s="338">
        <f t="shared" si="4"/>
        <v>194361</v>
      </c>
      <c r="H9" s="338">
        <f>SUBTOTAL(9,H4:H8)</f>
        <v>221806.27503839583</v>
      </c>
      <c r="I9" s="338">
        <f>SUBTOTAL(9,I4:I8)</f>
        <v>232587.61948902821</v>
      </c>
      <c r="J9" s="338">
        <f t="shared" si="4"/>
        <v>10781.344450632359</v>
      </c>
      <c r="K9" s="346">
        <f t="shared" ref="K9" si="5">IFERROR((I9-H9)/H9,1)</f>
        <v>4.8607030837004336E-2</v>
      </c>
      <c r="L9" s="336" t="s">
        <v>659</v>
      </c>
      <c r="M9" s="335"/>
      <c r="N9" s="335"/>
      <c r="O9" s="335"/>
      <c r="P9" s="140">
        <f>G9/12</f>
        <v>16196.75</v>
      </c>
    </row>
    <row r="10" spans="1:16" s="140" customFormat="1" x14ac:dyDescent="0.3">
      <c r="A10" s="178"/>
      <c r="B10" s="150"/>
      <c r="C10" s="139"/>
      <c r="D10" s="183"/>
      <c r="E10" s="183"/>
      <c r="F10" s="183"/>
      <c r="G10" s="321"/>
      <c r="H10" s="321"/>
      <c r="I10" s="321"/>
      <c r="J10" s="321"/>
      <c r="K10" s="347"/>
      <c r="L10" s="332"/>
      <c r="M10" s="335"/>
      <c r="N10" s="335"/>
      <c r="O10" s="335"/>
    </row>
    <row r="11" spans="1:16" s="140" customFormat="1" ht="27.6" x14ac:dyDescent="0.3">
      <c r="A11" s="149" t="s">
        <v>140</v>
      </c>
      <c r="B11" s="150">
        <v>2</v>
      </c>
      <c r="C11" s="139" t="s">
        <v>10</v>
      </c>
      <c r="D11" s="183" t="str">
        <f t="shared" ref="D11:K11" si="6">D3</f>
        <v>ACTUAL 2020-21</v>
      </c>
      <c r="E11" s="183" t="str">
        <f t="shared" si="6"/>
        <v>ACTUAL 2021-22</v>
      </c>
      <c r="F11" s="183" t="str">
        <f t="shared" si="6"/>
        <v>ACTUAL 2022-23</v>
      </c>
      <c r="G11" s="322" t="str">
        <f t="shared" si="6"/>
        <v>BUDGET 2021-22</v>
      </c>
      <c r="H11" s="322" t="str">
        <f t="shared" si="6"/>
        <v>BUDGET 2022-23</v>
      </c>
      <c r="I11" s="322" t="str">
        <f t="shared" si="6"/>
        <v>BUDGET 2023-24</v>
      </c>
      <c r="J11" s="322" t="str">
        <f t="shared" si="6"/>
        <v xml:space="preserve">
VARIANCE</v>
      </c>
      <c r="K11" s="348" t="str">
        <f t="shared" si="6"/>
        <v>% CHANGE</v>
      </c>
      <c r="L11" s="151" t="s">
        <v>236</v>
      </c>
      <c r="M11" s="151"/>
      <c r="N11" s="151"/>
      <c r="O11" s="151"/>
    </row>
    <row r="12" spans="1:16" ht="27.6" x14ac:dyDescent="0.3">
      <c r="A12" s="153">
        <v>6000</v>
      </c>
      <c r="B12" s="148" t="s">
        <v>147</v>
      </c>
      <c r="C12" s="152" t="s">
        <v>11</v>
      </c>
      <c r="D12" s="199">
        <f>SUMIF('TB21'!A$9:A$86,A12,'TB21'!C$9:D$87)</f>
        <v>12219.48</v>
      </c>
      <c r="E12" s="199">
        <v>16004.95</v>
      </c>
      <c r="F12" s="199">
        <f>SUMIF(CUMTB23!A$9:A$86,A12,CUMTB23!C$9:C$87)</f>
        <v>29539.691999999988</v>
      </c>
      <c r="G12" s="320">
        <v>15000</v>
      </c>
      <c r="H12" s="320">
        <f>D12*2.5</f>
        <v>30548.699999999997</v>
      </c>
      <c r="I12" s="320">
        <f>H12*1.065</f>
        <v>32534.365499999996</v>
      </c>
      <c r="J12" s="329">
        <f t="shared" ref="J12:J33" si="7">IFERROR((I12-H12),"")</f>
        <v>1985.6654999999992</v>
      </c>
      <c r="K12" s="333">
        <f t="shared" ref="K12:K34" si="8">IF(I12&lt;&gt;0,IFERROR((I12-H12)/H12,1),IFERROR((I12-H12)/H12,0))</f>
        <v>6.4999999999999974E-2</v>
      </c>
      <c r="L12" s="144" t="s">
        <v>654</v>
      </c>
    </row>
    <row r="13" spans="1:16" ht="27.6" x14ac:dyDescent="0.3">
      <c r="A13" s="153">
        <v>6020</v>
      </c>
      <c r="B13" s="148" t="s">
        <v>148</v>
      </c>
      <c r="C13" s="152" t="s">
        <v>12</v>
      </c>
      <c r="D13" s="199">
        <f>SUMIF('TB21'!A$9:A$86,A13,'TB21'!C$9:D$87)</f>
        <v>23562.06</v>
      </c>
      <c r="E13" s="199">
        <v>36390.83</v>
      </c>
      <c r="F13" s="199">
        <f>SUMIF(CUMTB23!A$9:A$86,A13,CUMTB23!C$9:C$87)</f>
        <v>23034.936000000002</v>
      </c>
      <c r="G13" s="320">
        <v>24000</v>
      </c>
      <c r="H13" s="320">
        <v>24000</v>
      </c>
      <c r="I13" s="320">
        <f>H13*1.05+5000</f>
        <v>30200</v>
      </c>
      <c r="J13" s="329">
        <f t="shared" si="7"/>
        <v>6200</v>
      </c>
      <c r="K13" s="333">
        <f t="shared" si="8"/>
        <v>0.25833333333333336</v>
      </c>
      <c r="L13" s="144" t="s">
        <v>703</v>
      </c>
    </row>
    <row r="14" spans="1:16" x14ac:dyDescent="0.3">
      <c r="A14" s="153">
        <v>6026</v>
      </c>
      <c r="B14" s="148" t="s">
        <v>149</v>
      </c>
      <c r="C14" s="152" t="s">
        <v>403</v>
      </c>
      <c r="D14" s="199">
        <f>SUMIF('TB21'!A$9:A$86,A14,'TB21'!C$9:D$87)</f>
        <v>152.22999999999999</v>
      </c>
      <c r="E14" s="199">
        <v>0</v>
      </c>
      <c r="F14" s="199">
        <f>SUMIF(CUMTB23!A$9:A$86,A14,CUMTB23!C$9:C$87)</f>
        <v>1024.7280000000001</v>
      </c>
      <c r="G14" s="320">
        <v>5500</v>
      </c>
      <c r="H14" s="320">
        <v>3500</v>
      </c>
      <c r="I14" s="320">
        <f>H14*1.05</f>
        <v>3675</v>
      </c>
      <c r="J14" s="329">
        <f t="shared" si="7"/>
        <v>175</v>
      </c>
      <c r="K14" s="333">
        <f t="shared" si="8"/>
        <v>0.05</v>
      </c>
      <c r="L14" s="144" t="s">
        <v>641</v>
      </c>
    </row>
    <row r="15" spans="1:16" ht="27.6" x14ac:dyDescent="0.3">
      <c r="A15" s="153">
        <v>6027</v>
      </c>
      <c r="B15" s="148" t="s">
        <v>150</v>
      </c>
      <c r="C15" s="152" t="s">
        <v>14</v>
      </c>
      <c r="D15" s="199">
        <f>SUMIF('TB21'!A$9:A$86,A15,'TB21'!C$9:D$87)</f>
        <v>1012.4399999999999</v>
      </c>
      <c r="E15" s="199">
        <v>1400</v>
      </c>
      <c r="F15" s="199">
        <f>SUMIF(CUMTB23!A$9:A$86,A15,CUMTB23!C$9:C$87)</f>
        <v>990.02399999999977</v>
      </c>
      <c r="G15" s="320">
        <v>1800</v>
      </c>
      <c r="H15" s="320">
        <v>1100</v>
      </c>
      <c r="I15" s="320">
        <v>1100</v>
      </c>
      <c r="J15" s="329">
        <f t="shared" si="7"/>
        <v>0</v>
      </c>
      <c r="K15" s="333">
        <f t="shared" si="8"/>
        <v>0</v>
      </c>
      <c r="L15" s="144" t="s">
        <v>404</v>
      </c>
    </row>
    <row r="16" spans="1:16" x14ac:dyDescent="0.3">
      <c r="A16" s="153">
        <v>6034</v>
      </c>
      <c r="B16" s="148" t="s">
        <v>151</v>
      </c>
      <c r="C16" s="152" t="s">
        <v>15</v>
      </c>
      <c r="D16" s="199">
        <f>SUMIF('TB21'!A$9:A$86,A16,'TB21'!C$9:D$87)</f>
        <v>0</v>
      </c>
      <c r="E16" s="199">
        <v>417</v>
      </c>
      <c r="F16" s="199">
        <f>SUMIF(CUMTB23!A$9:A$86,A16,CUMTB23!C$9:C$87)</f>
        <v>0</v>
      </c>
      <c r="G16" s="320">
        <f>2400-1200</f>
        <v>1200</v>
      </c>
      <c r="H16" s="320">
        <v>500</v>
      </c>
      <c r="I16" s="320">
        <f>H16*1.05</f>
        <v>525</v>
      </c>
      <c r="J16" s="329">
        <f t="shared" si="7"/>
        <v>25</v>
      </c>
      <c r="K16" s="333">
        <f t="shared" si="8"/>
        <v>0.05</v>
      </c>
    </row>
    <row r="17" spans="1:12" x14ac:dyDescent="0.3">
      <c r="A17" s="153">
        <v>6035</v>
      </c>
      <c r="B17" s="148" t="s">
        <v>152</v>
      </c>
      <c r="C17" s="152" t="s">
        <v>16</v>
      </c>
      <c r="D17" s="199">
        <f>SUMIF('TB21'!A$9:A$86,A17,'TB21'!C$9:D$87)</f>
        <v>0</v>
      </c>
      <c r="E17" s="199">
        <v>240</v>
      </c>
      <c r="F17" s="199">
        <f>SUMIF(CUMTB23!A$9:A$86,A17,CUMTB23!C$9:C$87)</f>
        <v>0</v>
      </c>
      <c r="G17" s="320">
        <f>1800-800</f>
        <v>1000</v>
      </c>
      <c r="H17" s="320">
        <v>500</v>
      </c>
      <c r="I17" s="320">
        <v>500</v>
      </c>
      <c r="J17" s="329">
        <f t="shared" si="7"/>
        <v>0</v>
      </c>
      <c r="K17" s="333">
        <f t="shared" si="8"/>
        <v>0</v>
      </c>
    </row>
    <row r="18" spans="1:12" x14ac:dyDescent="0.3">
      <c r="A18" s="153">
        <v>6037</v>
      </c>
      <c r="B18" s="148" t="s">
        <v>153</v>
      </c>
      <c r="C18" s="152" t="s">
        <v>17</v>
      </c>
      <c r="D18" s="199">
        <f>SUMIF('TB21'!A$9:A$86,A18,'TB21'!C$9:D$87)</f>
        <v>0</v>
      </c>
      <c r="E18" s="199">
        <v>0</v>
      </c>
      <c r="F18" s="199">
        <f>SUMIF(CUMTB23!A$9:A$86,A18,CUMTB23!C$9:C$87)</f>
        <v>0</v>
      </c>
      <c r="J18" s="329">
        <f t="shared" si="7"/>
        <v>0</v>
      </c>
      <c r="K18" s="333">
        <f t="shared" si="8"/>
        <v>0</v>
      </c>
    </row>
    <row r="19" spans="1:12" x14ac:dyDescent="0.3">
      <c r="A19" s="153">
        <v>6038</v>
      </c>
      <c r="B19" s="148" t="s">
        <v>154</v>
      </c>
      <c r="C19" s="152" t="s">
        <v>18</v>
      </c>
      <c r="D19" s="199">
        <f>SUMIF('TB21'!A$9:A$86,A19,'TB21'!C$9:D$87)</f>
        <v>0</v>
      </c>
      <c r="E19" s="199">
        <v>0</v>
      </c>
      <c r="F19" s="199">
        <f>SUMIF(CUMTB23!A$9:A$86,A19,CUMTB23!C$9:C$87)</f>
        <v>0</v>
      </c>
      <c r="J19" s="329">
        <f t="shared" si="7"/>
        <v>0</v>
      </c>
      <c r="K19" s="333">
        <f t="shared" si="8"/>
        <v>0</v>
      </c>
    </row>
    <row r="20" spans="1:12" x14ac:dyDescent="0.3">
      <c r="A20" s="153">
        <v>6039</v>
      </c>
      <c r="B20" s="148" t="s">
        <v>155</v>
      </c>
      <c r="C20" s="152" t="s">
        <v>19</v>
      </c>
      <c r="D20" s="199">
        <f>SUMIF('TB21'!A$9:A$86,A20,'TB21'!C$9:D$87)</f>
        <v>0</v>
      </c>
      <c r="E20" s="199">
        <v>3182.39</v>
      </c>
      <c r="F20" s="199">
        <f>SUMIF(CUMTB23!A$9:A$86,A20,CUMTB23!C$9:C$87)</f>
        <v>17145.11</v>
      </c>
      <c r="J20" s="329">
        <f t="shared" si="7"/>
        <v>0</v>
      </c>
      <c r="K20" s="333">
        <f t="shared" si="8"/>
        <v>0</v>
      </c>
    </row>
    <row r="21" spans="1:12" ht="55.2" x14ac:dyDescent="0.3">
      <c r="A21" s="153">
        <v>6040</v>
      </c>
      <c r="B21" s="148" t="s">
        <v>156</v>
      </c>
      <c r="C21" s="152" t="s">
        <v>683</v>
      </c>
      <c r="D21" s="199">
        <f>SUMIF('TB21'!A$9:A$86,A21,'TB21'!C$9:D$87)</f>
        <v>920</v>
      </c>
      <c r="E21" s="199">
        <v>2500</v>
      </c>
      <c r="F21" s="199">
        <f>SUMIF(CUMTB23!A$9:A$86,A21,CUMTB23!C$9:C$87)</f>
        <v>0</v>
      </c>
      <c r="G21" s="320">
        <v>5000</v>
      </c>
      <c r="H21" s="320">
        <f>7000+31114.81</f>
        <v>38114.81</v>
      </c>
      <c r="I21" s="320">
        <f>7000+1000</f>
        <v>8000</v>
      </c>
      <c r="J21" s="329">
        <f t="shared" si="7"/>
        <v>-30114.809999999998</v>
      </c>
      <c r="K21" s="333">
        <f t="shared" si="8"/>
        <v>-0.79010783472356283</v>
      </c>
      <c r="L21" s="144" t="s">
        <v>684</v>
      </c>
    </row>
    <row r="22" spans="1:12" ht="27.6" x14ac:dyDescent="0.3">
      <c r="A22" s="153">
        <v>6045</v>
      </c>
      <c r="B22" s="148" t="s">
        <v>157</v>
      </c>
      <c r="C22" s="152" t="s">
        <v>20</v>
      </c>
      <c r="D22" s="199">
        <f>SUMIF('TB21'!A$9:A$86,A22,'TB21'!C$9:D$87)</f>
        <v>633.93999999999994</v>
      </c>
      <c r="E22" s="199">
        <v>947.44</v>
      </c>
      <c r="F22" s="199">
        <f>SUMIF(CUMTB23!A$9:A$86,A22,CUMTB23!C$9:C$87)</f>
        <v>0</v>
      </c>
      <c r="G22" s="320">
        <v>0</v>
      </c>
      <c r="H22" s="320">
        <v>600</v>
      </c>
      <c r="I22" s="320">
        <v>300</v>
      </c>
      <c r="J22" s="329">
        <f t="shared" si="7"/>
        <v>-300</v>
      </c>
      <c r="K22" s="333">
        <f t="shared" si="8"/>
        <v>-0.5</v>
      </c>
      <c r="L22" s="144" t="s">
        <v>410</v>
      </c>
    </row>
    <row r="23" spans="1:12" ht="55.2" x14ac:dyDescent="0.3">
      <c r="A23" s="153">
        <v>6060</v>
      </c>
      <c r="B23" s="148" t="s">
        <v>159</v>
      </c>
      <c r="C23" s="152" t="s">
        <v>158</v>
      </c>
      <c r="D23" s="199">
        <f>SUMIF('TB21'!A$9:A$86,A23,'TB21'!C$9:D$87)</f>
        <v>6020</v>
      </c>
      <c r="E23" s="199">
        <v>1405</v>
      </c>
      <c r="F23" s="199">
        <f>SUMIF(CUMTB23!A$9:A$86,A23,CUMTB23!C$9:C$87)</f>
        <v>900</v>
      </c>
      <c r="G23" s="320">
        <v>3000</v>
      </c>
      <c r="H23" s="320">
        <v>6000</v>
      </c>
      <c r="I23" s="320">
        <v>1500</v>
      </c>
      <c r="J23" s="329">
        <f t="shared" si="7"/>
        <v>-4500</v>
      </c>
      <c r="K23" s="333">
        <f t="shared" si="8"/>
        <v>-0.75</v>
      </c>
      <c r="L23" s="144" t="s">
        <v>667</v>
      </c>
    </row>
    <row r="24" spans="1:12" ht="27.6" x14ac:dyDescent="0.3">
      <c r="A24" s="153">
        <v>6061</v>
      </c>
      <c r="B24" s="148" t="s">
        <v>160</v>
      </c>
      <c r="C24" s="152" t="s">
        <v>226</v>
      </c>
      <c r="D24" s="199">
        <f>SUMIF('TB21'!A$9:A$86,A24,'TB21'!C$9:D$87)</f>
        <v>0</v>
      </c>
      <c r="E24" s="199">
        <v>240</v>
      </c>
      <c r="F24" s="199">
        <f>SUMIF(CUMTB23!A$9:A$86,A24,CUMTB23!C$9:C$87)</f>
        <v>0</v>
      </c>
      <c r="G24" s="320">
        <v>2000</v>
      </c>
      <c r="H24" s="320">
        <v>2400</v>
      </c>
      <c r="I24" s="320">
        <v>600</v>
      </c>
      <c r="J24" s="329">
        <f t="shared" si="7"/>
        <v>-1800</v>
      </c>
      <c r="K24" s="333">
        <f t="shared" si="8"/>
        <v>-0.75</v>
      </c>
      <c r="L24" s="144" t="s">
        <v>668</v>
      </c>
    </row>
    <row r="25" spans="1:12" x14ac:dyDescent="0.3">
      <c r="A25" s="153">
        <v>6130</v>
      </c>
      <c r="B25" s="148" t="s">
        <v>161</v>
      </c>
      <c r="C25" s="152" t="s">
        <v>21</v>
      </c>
      <c r="D25" s="199">
        <f>SUMIF('TB21'!A$9:A$86,A25,'TB21'!C$9:D$87)</f>
        <v>2148.2799999999997</v>
      </c>
      <c r="E25" s="199">
        <v>2687.43</v>
      </c>
      <c r="F25" s="199">
        <f>SUMIF(CUMTB23!A$9:A$86,A25,CUMTB23!C$9:C$87)</f>
        <v>2521.8000000000002</v>
      </c>
      <c r="G25" s="320">
        <v>4000</v>
      </c>
      <c r="H25" s="320">
        <v>3000</v>
      </c>
      <c r="I25" s="320">
        <v>2400</v>
      </c>
      <c r="J25" s="329">
        <f t="shared" si="7"/>
        <v>-600</v>
      </c>
      <c r="K25" s="333">
        <f t="shared" si="8"/>
        <v>-0.2</v>
      </c>
      <c r="L25" s="144" t="s">
        <v>402</v>
      </c>
    </row>
    <row r="26" spans="1:12" ht="27.6" x14ac:dyDescent="0.3">
      <c r="A26" s="328">
        <v>6140</v>
      </c>
      <c r="B26" s="148" t="s">
        <v>162</v>
      </c>
      <c r="C26" s="152" t="s">
        <v>22</v>
      </c>
      <c r="D26" s="199">
        <f>SUMIF('TB21'!A$9:A$86,A26,'TB21'!C$9:D$87)</f>
        <v>0</v>
      </c>
      <c r="F26" s="199">
        <f>SUMIF(CUMTB23!A$9:A$86,A26,CUMTB23!C$9:C$87)+1953</f>
        <v>1953</v>
      </c>
      <c r="G26" s="320">
        <v>300</v>
      </c>
      <c r="H26" s="320">
        <v>1500</v>
      </c>
      <c r="I26" s="320">
        <v>2400</v>
      </c>
      <c r="J26" s="329">
        <f t="shared" si="7"/>
        <v>900</v>
      </c>
      <c r="K26" s="333">
        <f t="shared" si="8"/>
        <v>0.6</v>
      </c>
      <c r="L26" s="144" t="s">
        <v>704</v>
      </c>
    </row>
    <row r="27" spans="1:12" ht="27.6" x14ac:dyDescent="0.3">
      <c r="A27" s="153">
        <v>6141</v>
      </c>
      <c r="B27" s="148" t="s">
        <v>163</v>
      </c>
      <c r="C27" s="152" t="s">
        <v>23</v>
      </c>
      <c r="D27" s="199">
        <f>SUMIF('TB21'!A$9:A$86,A27,'TB21'!C$9:D$87)</f>
        <v>0</v>
      </c>
      <c r="E27" s="199">
        <v>169.9</v>
      </c>
      <c r="F27" s="199">
        <f>SUMIF(CUMTB23!A$9:A$86,A27,CUMTB23!C$9:C$87)</f>
        <v>0</v>
      </c>
      <c r="H27" s="320">
        <v>0</v>
      </c>
      <c r="I27" s="320">
        <v>600</v>
      </c>
      <c r="J27" s="329">
        <f t="shared" si="7"/>
        <v>600</v>
      </c>
      <c r="K27" s="333">
        <f t="shared" si="8"/>
        <v>1</v>
      </c>
      <c r="L27" s="144" t="s">
        <v>705</v>
      </c>
    </row>
    <row r="28" spans="1:12" ht="27.6" x14ac:dyDescent="0.3">
      <c r="A28" s="153">
        <v>6147</v>
      </c>
      <c r="B28" s="148" t="s">
        <v>164</v>
      </c>
      <c r="C28" s="152" t="s">
        <v>24</v>
      </c>
      <c r="D28" s="199">
        <f>SUMIF('TB21'!A$9:A$86,A28,'TB21'!C$9:D$87)</f>
        <v>1016.21</v>
      </c>
      <c r="E28" s="199">
        <v>1822.9300000000003</v>
      </c>
      <c r="F28" s="199">
        <f>SUMIF(CUMTB23!A$9:A$86,A28,CUMTB23!C$9:C$87)</f>
        <v>410.82</v>
      </c>
      <c r="G28" s="320">
        <v>3600</v>
      </c>
      <c r="H28" s="320">
        <v>1000</v>
      </c>
      <c r="I28" s="320">
        <v>1500</v>
      </c>
      <c r="J28" s="329">
        <f t="shared" si="7"/>
        <v>500</v>
      </c>
      <c r="K28" s="333">
        <f t="shared" si="8"/>
        <v>0.5</v>
      </c>
      <c r="L28" s="144" t="s">
        <v>408</v>
      </c>
    </row>
    <row r="29" spans="1:12" ht="55.2" x14ac:dyDescent="0.3">
      <c r="A29" s="153">
        <v>6160</v>
      </c>
      <c r="B29" s="148" t="s">
        <v>165</v>
      </c>
      <c r="C29" s="152" t="s">
        <v>26</v>
      </c>
      <c r="D29" s="199">
        <f>SUMIF('TB21'!A$9:A$86,A29,'TB21'!C$9:D$87)</f>
        <v>12000</v>
      </c>
      <c r="E29" s="199">
        <v>8857.73</v>
      </c>
      <c r="F29" s="199">
        <f>SUMIF(CUMTB23!A$9:A$86,A29,CUMTB23!C$9:C$87)</f>
        <v>10228.175999999999</v>
      </c>
      <c r="G29" s="320">
        <f>1000+500*11</f>
        <v>6500</v>
      </c>
      <c r="H29" s="320">
        <v>9000</v>
      </c>
      <c r="I29" s="320">
        <f>575*18+400</f>
        <v>10750</v>
      </c>
      <c r="J29" s="329">
        <f t="shared" si="7"/>
        <v>1750</v>
      </c>
      <c r="K29" s="333">
        <f t="shared" si="8"/>
        <v>0.19444444444444445</v>
      </c>
      <c r="L29" s="144" t="s">
        <v>672</v>
      </c>
    </row>
    <row r="30" spans="1:12" x14ac:dyDescent="0.3">
      <c r="A30" s="153">
        <v>6175</v>
      </c>
      <c r="B30" s="148" t="s">
        <v>166</v>
      </c>
      <c r="C30" s="152" t="s">
        <v>231</v>
      </c>
      <c r="D30" s="199">
        <f>SUMIF('TB21'!A$9:A$86,A30,'TB21'!C$9:D$87)</f>
        <v>2496</v>
      </c>
      <c r="E30" s="199">
        <v>2544</v>
      </c>
      <c r="F30" s="199">
        <f>SUMIF(CUMTB23!A$9:A$86,A30,CUMTB23!C$9:C$87)</f>
        <v>2544</v>
      </c>
      <c r="G30" s="320">
        <v>5000</v>
      </c>
      <c r="H30" s="320">
        <v>3000</v>
      </c>
      <c r="I30" s="320">
        <f>H30*1.05</f>
        <v>3150</v>
      </c>
      <c r="J30" s="329">
        <f t="shared" si="7"/>
        <v>150</v>
      </c>
      <c r="K30" s="333">
        <f t="shared" si="8"/>
        <v>0.05</v>
      </c>
      <c r="L30" s="144" t="s">
        <v>409</v>
      </c>
    </row>
    <row r="31" spans="1:12" ht="27.6" x14ac:dyDescent="0.3">
      <c r="A31" s="153">
        <v>6185</v>
      </c>
      <c r="B31" s="148" t="s">
        <v>167</v>
      </c>
      <c r="C31" s="152" t="s">
        <v>27</v>
      </c>
      <c r="D31" s="199">
        <f>SUMIF('TB21'!A$9:A$86,A31,'TB21'!C$9:D$87)</f>
        <v>0</v>
      </c>
      <c r="E31" s="199">
        <v>3268</v>
      </c>
      <c r="F31" s="199">
        <f>SUMIF(CUMTB23!A$9:A$86,A31,CUMTB23!C$9:C$87)</f>
        <v>0</v>
      </c>
      <c r="G31" s="320">
        <v>300</v>
      </c>
      <c r="H31" s="320">
        <v>800</v>
      </c>
      <c r="I31" s="320">
        <v>1000</v>
      </c>
      <c r="J31" s="329">
        <f t="shared" si="7"/>
        <v>200</v>
      </c>
      <c r="K31" s="333">
        <f t="shared" si="8"/>
        <v>0.25</v>
      </c>
      <c r="L31" s="144" t="s">
        <v>655</v>
      </c>
    </row>
    <row r="32" spans="1:12" ht="41.4" x14ac:dyDescent="0.3">
      <c r="A32" s="153">
        <v>6190</v>
      </c>
      <c r="B32" s="148" t="s">
        <v>168</v>
      </c>
      <c r="C32" s="152" t="s">
        <v>28</v>
      </c>
      <c r="D32" s="199">
        <f>SUMIF('TB21'!A$9:A$86,A32,'TB21'!C$9:D$87)</f>
        <v>3590</v>
      </c>
      <c r="E32" s="199">
        <v>2400</v>
      </c>
      <c r="F32" s="199">
        <f>SUMIF(CUMTB23!A$9:A$86,A32,CUMTB23!C$9:C$87)</f>
        <v>1128</v>
      </c>
      <c r="G32" s="320">
        <v>3000</v>
      </c>
      <c r="H32" s="320">
        <v>3000</v>
      </c>
      <c r="I32" s="320">
        <f>H32*105%</f>
        <v>3150</v>
      </c>
      <c r="J32" s="329">
        <f t="shared" si="7"/>
        <v>150</v>
      </c>
      <c r="K32" s="333">
        <f t="shared" si="8"/>
        <v>0.05</v>
      </c>
      <c r="L32" s="144" t="s">
        <v>411</v>
      </c>
    </row>
    <row r="33" spans="1:16" ht="55.2" x14ac:dyDescent="0.3">
      <c r="A33" s="153">
        <v>6315</v>
      </c>
      <c r="B33" s="148" t="s">
        <v>471</v>
      </c>
      <c r="C33" s="152" t="s">
        <v>25</v>
      </c>
      <c r="D33" s="199">
        <f>SUMIF('TB21'!A$9:A$86,A33,'TB21'!C$9:D$87)</f>
        <v>0</v>
      </c>
      <c r="E33" s="199">
        <f>SUMIF('TB22'!A$9:A$96,A33,'TB22'!C$9:E$96)</f>
        <v>0</v>
      </c>
      <c r="F33" s="199">
        <f>SUMIF(CUMTB23!A$9:A$86,A33,CUMTB23!C$9:C$87)</f>
        <v>426.39599999999996</v>
      </c>
      <c r="G33" s="320">
        <v>1500</v>
      </c>
      <c r="H33" s="320">
        <v>400</v>
      </c>
      <c r="I33" s="320">
        <f>H33*1.05</f>
        <v>420</v>
      </c>
      <c r="J33" s="329">
        <f t="shared" si="7"/>
        <v>20</v>
      </c>
      <c r="K33" s="333">
        <f t="shared" si="8"/>
        <v>0.05</v>
      </c>
      <c r="L33" s="144" t="s">
        <v>470</v>
      </c>
      <c r="P33" s="39">
        <f>5467-8500</f>
        <v>-3033</v>
      </c>
    </row>
    <row r="34" spans="1:16" s="140" customFormat="1" ht="14.4" thickBot="1" x14ac:dyDescent="0.35">
      <c r="A34" s="195"/>
      <c r="B34" s="195"/>
      <c r="C34" s="139" t="s">
        <v>29</v>
      </c>
      <c r="D34" s="340">
        <f t="shared" ref="D34:J34" si="9">SUBTOTAL(9,D12:D33)</f>
        <v>65770.640000000014</v>
      </c>
      <c r="E34" s="340">
        <f t="shared" si="9"/>
        <v>84477.599999999991</v>
      </c>
      <c r="F34" s="340">
        <f t="shared" si="9"/>
        <v>91846.681999999986</v>
      </c>
      <c r="G34" s="341">
        <f t="shared" si="9"/>
        <v>82700</v>
      </c>
      <c r="H34" s="341">
        <f t="shared" si="9"/>
        <v>128963.51</v>
      </c>
      <c r="I34" s="341">
        <f t="shared" si="9"/>
        <v>104304.3655</v>
      </c>
      <c r="J34" s="341">
        <f t="shared" si="9"/>
        <v>-24659.144499999999</v>
      </c>
      <c r="K34" s="346">
        <f t="shared" si="8"/>
        <v>-0.19121024621615831</v>
      </c>
      <c r="L34" s="151"/>
      <c r="M34" s="151"/>
      <c r="N34" s="151"/>
      <c r="O34" s="151"/>
    </row>
    <row r="35" spans="1:16" x14ac:dyDescent="0.3">
      <c r="A35" s="154"/>
      <c r="B35" s="154"/>
      <c r="C35" s="152"/>
      <c r="J35" s="320"/>
      <c r="K35" s="349"/>
    </row>
    <row r="36" spans="1:16" s="187" customFormat="1" ht="27.6" x14ac:dyDescent="0.3">
      <c r="A36" s="184" t="s">
        <v>1</v>
      </c>
      <c r="B36" s="184">
        <v>3</v>
      </c>
      <c r="C36" s="185" t="s">
        <v>30</v>
      </c>
      <c r="D36" s="201" t="str">
        <f t="shared" ref="D36:J36" si="10">D3</f>
        <v>ACTUAL 2020-21</v>
      </c>
      <c r="E36" s="201" t="str">
        <f t="shared" si="10"/>
        <v>ACTUAL 2021-22</v>
      </c>
      <c r="F36" s="201" t="str">
        <f t="shared" si="10"/>
        <v>ACTUAL 2022-23</v>
      </c>
      <c r="G36" s="324" t="str">
        <f t="shared" si="10"/>
        <v>BUDGET 2021-22</v>
      </c>
      <c r="H36" s="324" t="str">
        <f t="shared" si="10"/>
        <v>BUDGET 2022-23</v>
      </c>
      <c r="I36" s="324" t="str">
        <f t="shared" si="10"/>
        <v>BUDGET 2023-24</v>
      </c>
      <c r="J36" s="324" t="str">
        <f t="shared" si="10"/>
        <v xml:space="preserve">
VARIANCE</v>
      </c>
      <c r="K36" s="348" t="s">
        <v>235</v>
      </c>
      <c r="L36" s="186" t="s">
        <v>236</v>
      </c>
      <c r="M36" s="186"/>
      <c r="N36" s="186"/>
      <c r="O36" s="186"/>
    </row>
    <row r="37" spans="1:16" ht="27.6" x14ac:dyDescent="0.3">
      <c r="A37" s="153">
        <v>5001</v>
      </c>
      <c r="B37" s="148" t="s">
        <v>169</v>
      </c>
      <c r="C37" s="152" t="s">
        <v>405</v>
      </c>
      <c r="D37" s="199">
        <f>SUMIF('TB21'!A$9:A$86,A37,'TB21'!C$9:D$87)</f>
        <v>55430.819999999992</v>
      </c>
      <c r="E37" s="199">
        <v>60009.500000000015</v>
      </c>
      <c r="F37" s="199">
        <f>SUMIF(CUMTB23!A$9:A$86,A37,CUMTB23!C$9:C$87)</f>
        <v>66464.796000000002</v>
      </c>
      <c r="G37" s="320">
        <f>Payroll23!W10</f>
        <v>56685</v>
      </c>
      <c r="H37" s="320">
        <f>Payroll23!V10</f>
        <v>65909.19</v>
      </c>
      <c r="I37" s="320">
        <f>Payroll24!V10</f>
        <v>69863.741399999999</v>
      </c>
      <c r="J37" s="329">
        <f t="shared" ref="J37:J51" si="11">IFERROR((I37-H37),"")</f>
        <v>3954.5513999999966</v>
      </c>
      <c r="K37" s="333">
        <f t="shared" ref="K37:K52" si="12">IF(I37&lt;&gt;0,IFERROR((I37-H37)/H37,1),IFERROR((I37-H37)/H37,0))</f>
        <v>5.9999999999999949E-2</v>
      </c>
      <c r="L37" s="144" t="s">
        <v>682</v>
      </c>
    </row>
    <row r="38" spans="1:16" x14ac:dyDescent="0.3">
      <c r="A38" s="153">
        <v>50011</v>
      </c>
      <c r="B38" s="148" t="s">
        <v>170</v>
      </c>
      <c r="C38" s="152" t="s">
        <v>443</v>
      </c>
      <c r="D38" s="199">
        <f>11584.81+2007+664.35</f>
        <v>14256.16</v>
      </c>
      <c r="E38" s="199">
        <v>0</v>
      </c>
      <c r="F38" s="199">
        <f>SUMIF(CUMTB23!A$9:A$86,A38,CUMTB23!C$9:C$87)*0</f>
        <v>0</v>
      </c>
      <c r="G38" s="320">
        <f>Payroll23!W11</f>
        <v>10920</v>
      </c>
      <c r="H38" s="320">
        <f>Payroll23!V11</f>
        <v>10920</v>
      </c>
      <c r="I38" s="320">
        <f>Payroll24!V11</f>
        <v>0</v>
      </c>
      <c r="J38" s="329">
        <f t="shared" si="11"/>
        <v>-10920</v>
      </c>
      <c r="K38" s="333">
        <f t="shared" si="12"/>
        <v>-1</v>
      </c>
      <c r="L38" s="144" t="s">
        <v>664</v>
      </c>
    </row>
    <row r="39" spans="1:16" ht="41.4" x14ac:dyDescent="0.3">
      <c r="A39" s="153">
        <v>50011</v>
      </c>
      <c r="B39" s="148" t="s">
        <v>171</v>
      </c>
      <c r="C39" s="152" t="s">
        <v>400</v>
      </c>
      <c r="D39" s="199">
        <f>'TB21'!C41-D38</f>
        <v>34881.960000000006</v>
      </c>
      <c r="E39" s="199">
        <v>42938.080000000002</v>
      </c>
      <c r="F39" s="199">
        <f>SUMIF(CUMTB23!A$9:A$86,A39,CUMTB23!C$9:C$87)</f>
        <v>49731.600000000006</v>
      </c>
      <c r="G39" s="320">
        <v>36400</v>
      </c>
      <c r="H39" s="320">
        <f>Payroll23!P15</f>
        <v>38823.008000000002</v>
      </c>
      <c r="I39" s="320">
        <f>Payroll24!P17</f>
        <v>48304</v>
      </c>
      <c r="J39" s="329">
        <f t="shared" si="11"/>
        <v>9480.9919999999984</v>
      </c>
      <c r="K39" s="333">
        <f t="shared" si="12"/>
        <v>0.24421064951999594</v>
      </c>
      <c r="L39" s="144" t="s">
        <v>671</v>
      </c>
    </row>
    <row r="40" spans="1:16" ht="27.6" x14ac:dyDescent="0.3">
      <c r="A40" s="153">
        <v>5002</v>
      </c>
      <c r="B40" s="148" t="s">
        <v>172</v>
      </c>
      <c r="C40" s="152" t="s">
        <v>32</v>
      </c>
      <c r="D40" s="199">
        <f>SUMIF('TB21'!A$9:A$86,A40,'TB21'!C$9:D$87)</f>
        <v>5224.83</v>
      </c>
      <c r="E40" s="199">
        <v>5642.18</v>
      </c>
      <c r="F40" s="199">
        <f>SUMIF(CUMTB23!A$9:A$86,A40,CUMTB23!C$9:C$87)</f>
        <v>5744.2920000000013</v>
      </c>
      <c r="G40" s="320">
        <v>8816.130000000001</v>
      </c>
      <c r="H40" s="320">
        <f>Payroll23!W12</f>
        <v>8816.130000000001</v>
      </c>
      <c r="I40" s="320">
        <f>Payroll24!V12</f>
        <v>8772.4657355000018</v>
      </c>
      <c r="J40" s="329">
        <f t="shared" si="11"/>
        <v>-43.664264499999263</v>
      </c>
      <c r="K40" s="333">
        <f t="shared" si="12"/>
        <v>-4.952770036285678E-3</v>
      </c>
      <c r="L40" s="144" t="s">
        <v>678</v>
      </c>
    </row>
    <row r="41" spans="1:16" x14ac:dyDescent="0.3">
      <c r="A41" s="153">
        <v>50021</v>
      </c>
      <c r="B41" s="148" t="s">
        <v>173</v>
      </c>
      <c r="C41" s="152" t="s">
        <v>401</v>
      </c>
      <c r="D41" s="199">
        <f>SUMIF('TB21'!A$9:A$86,A41,'TB21'!C$9:D$87)</f>
        <v>1003.6</v>
      </c>
      <c r="E41" s="199">
        <v>399.14000000000004</v>
      </c>
      <c r="F41" s="199">
        <f>SUMIF(CUMTB23!A$9:A$86,A41,CUMTB23!C$9:C$87)</f>
        <v>296.89199999999994</v>
      </c>
      <c r="G41" s="320">
        <v>1506.96</v>
      </c>
      <c r="H41" s="320">
        <f>Payroll23!V13</f>
        <v>1446.9</v>
      </c>
      <c r="I41" s="320">
        <f>Payroll24!V13</f>
        <v>0</v>
      </c>
      <c r="J41" s="329">
        <f t="shared" si="11"/>
        <v>-1446.9</v>
      </c>
      <c r="K41" s="333">
        <f t="shared" si="12"/>
        <v>-1</v>
      </c>
      <c r="L41" s="144" t="s">
        <v>663</v>
      </c>
    </row>
    <row r="42" spans="1:16" x14ac:dyDescent="0.3">
      <c r="A42" s="153">
        <v>5020</v>
      </c>
      <c r="B42" s="148" t="s">
        <v>174</v>
      </c>
      <c r="C42" s="152" t="s">
        <v>227</v>
      </c>
      <c r="D42" s="199">
        <f>SUMIF('TB21'!A$9:A$86,A42,'TB21'!C$9:D$87)</f>
        <v>1170.46</v>
      </c>
      <c r="E42" s="199">
        <v>2599.7600000000007</v>
      </c>
      <c r="F42" s="199">
        <f>SUMIF(CUMTB23!A$9:A$86,A42,CUMTB23!C$9:C$87)</f>
        <v>1432.3679999999999</v>
      </c>
      <c r="G42" s="320">
        <v>1653.18</v>
      </c>
      <c r="H42" s="320">
        <f>Payroll23!V15</f>
        <v>1977.2756999999999</v>
      </c>
      <c r="I42" s="320">
        <f>Payroll24!V15</f>
        <v>2095.9122419999999</v>
      </c>
      <c r="J42" s="329">
        <f t="shared" si="11"/>
        <v>118.63654199999996</v>
      </c>
      <c r="K42" s="333">
        <f t="shared" si="12"/>
        <v>5.9999999999999984E-2</v>
      </c>
    </row>
    <row r="43" spans="1:16" x14ac:dyDescent="0.3">
      <c r="A43" s="153">
        <v>5030</v>
      </c>
      <c r="B43" s="148" t="s">
        <v>175</v>
      </c>
      <c r="C43" s="152" t="s">
        <v>34</v>
      </c>
      <c r="D43" s="199">
        <f>SUMIF('TB21'!A$9:A$86,A43,'TB21'!C$9:D$87)</f>
        <v>0</v>
      </c>
      <c r="E43" s="199">
        <v>275</v>
      </c>
      <c r="F43" s="199">
        <f>SUMIF(CUMTB23!A$9:A$86,A43,CUMTB23!C$9:C$87)</f>
        <v>0</v>
      </c>
      <c r="G43" s="320">
        <v>1500</v>
      </c>
      <c r="H43" s="320">
        <v>300</v>
      </c>
      <c r="I43" s="320">
        <v>1000</v>
      </c>
      <c r="J43" s="329">
        <f t="shared" si="11"/>
        <v>700</v>
      </c>
      <c r="K43" s="333">
        <f t="shared" si="12"/>
        <v>2.3333333333333335</v>
      </c>
      <c r="L43" s="144" t="s">
        <v>706</v>
      </c>
    </row>
    <row r="44" spans="1:16" x14ac:dyDescent="0.3">
      <c r="A44" s="153">
        <v>5042</v>
      </c>
      <c r="B44" s="148" t="s">
        <v>176</v>
      </c>
      <c r="C44" s="152" t="s">
        <v>35</v>
      </c>
      <c r="D44" s="199">
        <f>SUMIF('TB21'!A$9:A$86,A44,'TB21'!C$9:D$87)</f>
        <v>0</v>
      </c>
      <c r="E44" s="199">
        <v>0</v>
      </c>
      <c r="F44" s="199">
        <f>SUMIF(CUMTB23!A$9:A$86,A44,CUMTB23!C$9:C$87)</f>
        <v>0</v>
      </c>
      <c r="I44" s="320">
        <f>Payroll24!V16</f>
        <v>1000</v>
      </c>
      <c r="J44" s="329">
        <f t="shared" si="11"/>
        <v>1000</v>
      </c>
      <c r="K44" s="333">
        <f t="shared" si="12"/>
        <v>1</v>
      </c>
      <c r="L44" s="144" t="s">
        <v>681</v>
      </c>
    </row>
    <row r="45" spans="1:16" ht="27.6" x14ac:dyDescent="0.3">
      <c r="A45" s="153">
        <v>5043</v>
      </c>
      <c r="B45" s="148" t="s">
        <v>177</v>
      </c>
      <c r="C45" s="152" t="s">
        <v>669</v>
      </c>
      <c r="D45" s="199">
        <f>SUMIF('TB21'!A$9:A$86,A45,'TB21'!C$9:D$87)</f>
        <v>0</v>
      </c>
      <c r="E45" s="199">
        <v>0</v>
      </c>
      <c r="F45" s="199">
        <f>SUMIF(CUMTB23!A$9:A$86,A45,CUMTB23!C$9:C$87)</f>
        <v>0</v>
      </c>
      <c r="J45" s="329">
        <f t="shared" si="11"/>
        <v>0</v>
      </c>
      <c r="K45" s="333">
        <f t="shared" si="12"/>
        <v>0</v>
      </c>
      <c r="L45" s="144" t="s">
        <v>670</v>
      </c>
    </row>
    <row r="46" spans="1:16" x14ac:dyDescent="0.3">
      <c r="A46" s="153">
        <v>5045</v>
      </c>
      <c r="B46" s="148" t="s">
        <v>178</v>
      </c>
      <c r="C46" s="152" t="s">
        <v>36</v>
      </c>
      <c r="D46" s="199">
        <f>SUMIF('TB21'!A$9:A$86,A46,'TB21'!C$9:D$87)</f>
        <v>2171.8000000000002</v>
      </c>
      <c r="E46" s="199">
        <v>0</v>
      </c>
      <c r="F46" s="199">
        <f>SUMIF(CUMTB23!A$9:A$86,A46,CUMTB23!C$9:C$87)</f>
        <v>0</v>
      </c>
      <c r="G46" s="320">
        <v>0</v>
      </c>
      <c r="H46" s="320">
        <v>0</v>
      </c>
      <c r="I46" s="320">
        <v>0</v>
      </c>
      <c r="J46" s="329">
        <f t="shared" si="11"/>
        <v>0</v>
      </c>
      <c r="K46" s="333">
        <f t="shared" si="12"/>
        <v>0</v>
      </c>
      <c r="L46" s="144" t="s">
        <v>228</v>
      </c>
    </row>
    <row r="47" spans="1:16" x14ac:dyDescent="0.3">
      <c r="A47" s="153">
        <v>7120</v>
      </c>
      <c r="B47" s="148" t="s">
        <v>179</v>
      </c>
      <c r="C47" s="152" t="s">
        <v>38</v>
      </c>
      <c r="D47" s="199">
        <f>SUMIF('TB21'!A$9:A$86,A47,'TB21'!C$9:D$87)</f>
        <v>0</v>
      </c>
      <c r="E47" s="199">
        <v>196</v>
      </c>
      <c r="F47" s="199">
        <f>SUMIF(CUMTB23!A$9:A$86,A47,CUMTB23!C$9:C$87)</f>
        <v>8.2800000000000011</v>
      </c>
      <c r="G47" s="320">
        <v>0</v>
      </c>
      <c r="H47" s="320">
        <v>0</v>
      </c>
      <c r="I47" s="320">
        <v>0</v>
      </c>
      <c r="J47" s="329">
        <f t="shared" si="11"/>
        <v>0</v>
      </c>
      <c r="K47" s="333">
        <f t="shared" si="12"/>
        <v>0</v>
      </c>
    </row>
    <row r="48" spans="1:16" x14ac:dyDescent="0.3">
      <c r="A48" s="153">
        <v>8030</v>
      </c>
      <c r="B48" s="148" t="s">
        <v>180</v>
      </c>
      <c r="C48" s="152" t="s">
        <v>39</v>
      </c>
      <c r="D48" s="199">
        <f>SUMIF('TB21'!A$9:A$86,A48,'TB21'!C$9:D$87)</f>
        <v>0</v>
      </c>
      <c r="E48" s="199">
        <f>SUMIF('TB22'!A$8:A$85,A48,'TB22'!C$8:E$86)</f>
        <v>0</v>
      </c>
      <c r="F48" s="199">
        <f>SUMIF(CUMTB23!A$9:A$86,A48,CUMTB23!C$9:C$87)</f>
        <v>0</v>
      </c>
      <c r="G48" s="320">
        <v>0</v>
      </c>
      <c r="H48" s="320">
        <v>0</v>
      </c>
      <c r="I48" s="320">
        <v>0</v>
      </c>
      <c r="J48" s="329">
        <f t="shared" si="11"/>
        <v>0</v>
      </c>
      <c r="K48" s="333">
        <f t="shared" si="12"/>
        <v>0</v>
      </c>
    </row>
    <row r="49" spans="1:15" x14ac:dyDescent="0.3">
      <c r="A49" s="153">
        <v>8050</v>
      </c>
      <c r="B49" s="148" t="s">
        <v>181</v>
      </c>
      <c r="C49" s="152" t="s">
        <v>37</v>
      </c>
      <c r="D49" s="199">
        <f>SUMIF('TB21'!A$9:A$86,A49,'TB21'!C$9:D$87)</f>
        <v>0</v>
      </c>
      <c r="E49" s="199">
        <f>SUMIF('TB22'!A$8:A$85,A49,'TB22'!C$8:E$86)</f>
        <v>0</v>
      </c>
      <c r="F49" s="199">
        <f>SUMIF(CUMTB23!A$9:A$86,A49,CUMTB23!C$9:C$87)</f>
        <v>0</v>
      </c>
      <c r="G49" s="320">
        <v>500</v>
      </c>
      <c r="H49" s="320">
        <v>500</v>
      </c>
      <c r="I49" s="320">
        <v>500</v>
      </c>
      <c r="J49" s="329">
        <f t="shared" si="11"/>
        <v>0</v>
      </c>
      <c r="K49" s="333">
        <f t="shared" si="12"/>
        <v>0</v>
      </c>
      <c r="L49" s="144" t="s">
        <v>240</v>
      </c>
    </row>
    <row r="50" spans="1:15" x14ac:dyDescent="0.3">
      <c r="C50" s="38" t="s">
        <v>40</v>
      </c>
      <c r="D50" s="199">
        <f t="shared" ref="D50:I50" si="13">SUBTOTAL(9,D37:D49)</f>
        <v>114139.63000000002</v>
      </c>
      <c r="E50" s="199">
        <f t="shared" si="13"/>
        <v>112059.66</v>
      </c>
      <c r="F50" s="199">
        <f t="shared" si="13"/>
        <v>123678.22800000002</v>
      </c>
      <c r="G50" s="319">
        <f t="shared" si="13"/>
        <v>117981.27</v>
      </c>
      <c r="H50" s="319">
        <f t="shared" si="13"/>
        <v>128692.5037</v>
      </c>
      <c r="I50" s="319">
        <f t="shared" si="13"/>
        <v>131536.11937750003</v>
      </c>
      <c r="J50" s="329">
        <f t="shared" si="11"/>
        <v>2843.6156775000272</v>
      </c>
      <c r="K50" s="333">
        <f t="shared" si="12"/>
        <v>2.2096202931360231E-2</v>
      </c>
      <c r="L50" s="155"/>
      <c r="M50" s="155"/>
      <c r="N50" s="155"/>
      <c r="O50" s="155"/>
    </row>
    <row r="51" spans="1:15" x14ac:dyDescent="0.3">
      <c r="C51" s="38" t="s">
        <v>41</v>
      </c>
      <c r="D51" s="199">
        <f>(D50-D38-D39-D41-D45)*21%</f>
        <v>13439.561100000003</v>
      </c>
      <c r="E51" s="199">
        <f>(E50-E39-E40-E42-E46)*21%</f>
        <v>12784.724399999999</v>
      </c>
      <c r="F51" s="199">
        <f>(F50-F39-F40-F42-F46)*21%</f>
        <v>14021.693280000001</v>
      </c>
      <c r="G51" s="319">
        <f>(G50-G38-G39-G41-G45)*21%</f>
        <v>14522.405099999998</v>
      </c>
      <c r="H51" s="319">
        <f>(H50-H38-H39-H41-H45)*21%</f>
        <v>16275.545097</v>
      </c>
      <c r="I51" s="319">
        <f>(I50-I38-I39-I41-I45)*21%</f>
        <v>17478.745069275006</v>
      </c>
      <c r="J51" s="329">
        <f t="shared" si="11"/>
        <v>1203.1999722750061</v>
      </c>
      <c r="K51" s="333">
        <f t="shared" si="12"/>
        <v>7.3926861748967579E-2</v>
      </c>
      <c r="L51" s="155"/>
      <c r="M51" s="155"/>
      <c r="N51" s="155"/>
      <c r="O51" s="155"/>
    </row>
    <row r="52" spans="1:15" s="140" customFormat="1" ht="14.4" thickBot="1" x14ac:dyDescent="0.35">
      <c r="A52" s="195"/>
      <c r="B52" s="195"/>
      <c r="C52" s="139" t="s">
        <v>82</v>
      </c>
      <c r="D52" s="340">
        <f>(D51-D39-D40-D42-D46)*21%</f>
        <v>-6301.9926690000002</v>
      </c>
      <c r="E52" s="340">
        <f t="shared" ref="E52:I52" si="14">E50-E51</f>
        <v>99274.935599999997</v>
      </c>
      <c r="F52" s="340">
        <f t="shared" si="14"/>
        <v>109656.53472000001</v>
      </c>
      <c r="G52" s="342">
        <f t="shared" si="14"/>
        <v>103458.8649</v>
      </c>
      <c r="H52" s="342">
        <f t="shared" si="14"/>
        <v>112416.95860300001</v>
      </c>
      <c r="I52" s="342">
        <f t="shared" si="14"/>
        <v>114057.37430822503</v>
      </c>
      <c r="J52" s="342">
        <f t="shared" ref="J52" si="15">J50-J51</f>
        <v>1640.4157052250212</v>
      </c>
      <c r="K52" s="346">
        <f t="shared" si="12"/>
        <v>1.4592244138343431E-2</v>
      </c>
      <c r="L52" s="151"/>
      <c r="M52" s="151"/>
      <c r="N52" s="151"/>
      <c r="O52" s="151"/>
    </row>
    <row r="53" spans="1:15" x14ac:dyDescent="0.3">
      <c r="A53" s="154"/>
      <c r="B53" s="154"/>
      <c r="C53" s="152"/>
      <c r="D53" s="198"/>
      <c r="E53" s="198"/>
      <c r="F53" s="198"/>
      <c r="G53" s="325"/>
      <c r="H53" s="325"/>
      <c r="I53" s="325"/>
      <c r="J53" s="325"/>
      <c r="K53" s="350"/>
    </row>
    <row r="54" spans="1:15" s="140" customFormat="1" ht="27.6" x14ac:dyDescent="0.3">
      <c r="A54" s="188" t="s">
        <v>1</v>
      </c>
      <c r="B54" s="188">
        <v>4</v>
      </c>
      <c r="C54" s="189" t="s">
        <v>43</v>
      </c>
      <c r="D54" s="183" t="str">
        <f t="shared" ref="D54:J54" si="16">D3</f>
        <v>ACTUAL 2020-21</v>
      </c>
      <c r="E54" s="183" t="str">
        <f t="shared" si="16"/>
        <v>ACTUAL 2021-22</v>
      </c>
      <c r="F54" s="183" t="str">
        <f t="shared" si="16"/>
        <v>ACTUAL 2022-23</v>
      </c>
      <c r="G54" s="322" t="str">
        <f t="shared" si="16"/>
        <v>BUDGET 2021-22</v>
      </c>
      <c r="H54" s="322" t="str">
        <f t="shared" si="16"/>
        <v>BUDGET 2022-23</v>
      </c>
      <c r="I54" s="322" t="str">
        <f t="shared" si="16"/>
        <v>BUDGET 2023-24</v>
      </c>
      <c r="J54" s="322" t="str">
        <f t="shared" si="16"/>
        <v xml:space="preserve">
VARIANCE</v>
      </c>
      <c r="K54" s="348" t="s">
        <v>235</v>
      </c>
      <c r="L54" s="142" t="s">
        <v>236</v>
      </c>
      <c r="M54" s="142"/>
      <c r="N54" s="142"/>
      <c r="O54" s="142"/>
    </row>
    <row r="55" spans="1:15" ht="55.2" x14ac:dyDescent="0.3">
      <c r="A55" s="194">
        <v>7000</v>
      </c>
      <c r="B55" s="148" t="s">
        <v>182</v>
      </c>
      <c r="C55" s="152" t="s">
        <v>44</v>
      </c>
      <c r="D55" s="199">
        <f>SUMIF('TB21'!A$9:A$86,A55,'TB21'!C$9:D$87)</f>
        <v>1994.52</v>
      </c>
      <c r="E55" s="199">
        <v>2022</v>
      </c>
      <c r="F55" s="199">
        <f>SUMIF(CUMTB23!A$9:A$86,A55,CUMTB23!C$9:C$87)</f>
        <v>1617.6000000000001</v>
      </c>
      <c r="G55" s="320">
        <v>1800</v>
      </c>
      <c r="H55" s="320">
        <f>168.5*12</f>
        <v>2022</v>
      </c>
      <c r="I55" s="320">
        <f>168.5*12</f>
        <v>2022</v>
      </c>
      <c r="J55" s="329">
        <f t="shared" ref="J55:J90" si="17">IFERROR((I55-H55),"")</f>
        <v>0</v>
      </c>
      <c r="K55" s="333">
        <f t="shared" ref="K55:K90" si="18">IF(I55&lt;&gt;0,IFERROR((I55-H55)/H55,1),IFERROR((I55-H55)/H55,0))</f>
        <v>0</v>
      </c>
      <c r="L55" s="144" t="s">
        <v>658</v>
      </c>
    </row>
    <row r="56" spans="1:15" x14ac:dyDescent="0.3">
      <c r="A56" s="154">
        <v>7001</v>
      </c>
      <c r="B56" s="148" t="s">
        <v>183</v>
      </c>
      <c r="C56" s="152" t="s">
        <v>184</v>
      </c>
      <c r="D56" s="199">
        <f>SUMIF('TB21'!A$9:A$86,A56,'TB21'!C$9:D$87)</f>
        <v>90.01</v>
      </c>
      <c r="E56" s="199">
        <v>414.93</v>
      </c>
      <c r="F56" s="199">
        <f>SUMIF(CUMTB23!A$9:A$86,A56,CUMTB23!C$9:C$87)</f>
        <v>0</v>
      </c>
      <c r="G56" s="320">
        <v>300</v>
      </c>
      <c r="H56" s="320">
        <v>300</v>
      </c>
      <c r="I56" s="320">
        <v>300</v>
      </c>
      <c r="J56" s="329">
        <f t="shared" si="17"/>
        <v>0</v>
      </c>
      <c r="K56" s="333">
        <f t="shared" si="18"/>
        <v>0</v>
      </c>
    </row>
    <row r="57" spans="1:15" x14ac:dyDescent="0.3">
      <c r="A57" s="154">
        <v>7002</v>
      </c>
      <c r="B57" s="148" t="s">
        <v>185</v>
      </c>
      <c r="C57" s="152" t="s">
        <v>594</v>
      </c>
      <c r="D57" s="199">
        <f>SUMIF('TB21'!A$9:A$86,A57,'TB21'!C$9:D$87)</f>
        <v>368.64</v>
      </c>
      <c r="E57" s="199">
        <v>368.64</v>
      </c>
      <c r="F57" s="199">
        <f>SUMIF(CUMTB23!A$9:A$86,A57,CUMTB23!C$9:C$87)</f>
        <v>368.6400000000001</v>
      </c>
      <c r="G57" s="320">
        <v>650</v>
      </c>
      <c r="H57" s="320">
        <f>D57*1.05</f>
        <v>387.072</v>
      </c>
      <c r="I57" s="320">
        <f>368.64*1.098</f>
        <v>404.76672000000002</v>
      </c>
      <c r="J57" s="329">
        <f t="shared" si="17"/>
        <v>17.694720000000018</v>
      </c>
      <c r="K57" s="333">
        <f t="shared" si="18"/>
        <v>4.5714285714285763E-2</v>
      </c>
    </row>
    <row r="58" spans="1:15" ht="27.6" x14ac:dyDescent="0.3">
      <c r="A58" s="327">
        <v>7005</v>
      </c>
      <c r="B58" s="148" t="s">
        <v>186</v>
      </c>
      <c r="C58" s="152" t="s">
        <v>450</v>
      </c>
      <c r="D58" s="199">
        <f>SUMIF('TB21'!A$9:A$86,A58,'TB21'!C$9:D$87)</f>
        <v>822.43</v>
      </c>
      <c r="E58" s="199">
        <v>1232.8</v>
      </c>
      <c r="F58" s="199">
        <f>SUMIF(CUMTB23!A$9:A$86,A58,CUMTB23!C$9:C$87)-1953</f>
        <v>-0.38400000000001455</v>
      </c>
      <c r="G58" s="320">
        <v>0</v>
      </c>
      <c r="H58" s="320">
        <v>300</v>
      </c>
      <c r="I58" s="320">
        <v>0</v>
      </c>
      <c r="J58" s="329">
        <f t="shared" si="17"/>
        <v>-300</v>
      </c>
      <c r="K58" s="333">
        <f t="shared" si="18"/>
        <v>-1</v>
      </c>
      <c r="L58" s="144" t="s">
        <v>707</v>
      </c>
    </row>
    <row r="59" spans="1:15" x14ac:dyDescent="0.3">
      <c r="A59" s="154">
        <v>7010</v>
      </c>
      <c r="B59" s="148" t="s">
        <v>187</v>
      </c>
      <c r="C59" s="152" t="s">
        <v>45</v>
      </c>
      <c r="D59" s="199">
        <f>SUMIF('TB21'!A$9:A$86,A59,'TB21'!C$9:D$87)</f>
        <v>2662.63</v>
      </c>
      <c r="E59" s="199">
        <v>2619.9699999999998</v>
      </c>
      <c r="F59" s="199">
        <f>SUMIF(CUMTB23!A$9:A$86,A59,CUMTB23!C$9:C$87)</f>
        <v>2403.5880000000002</v>
      </c>
      <c r="G59" s="320">
        <v>2750</v>
      </c>
      <c r="H59" s="320">
        <f>D59*1.05</f>
        <v>2795.7615000000001</v>
      </c>
      <c r="I59" s="320">
        <v>2936.68</v>
      </c>
      <c r="J59" s="329">
        <f t="shared" si="17"/>
        <v>140.91849999999977</v>
      </c>
      <c r="K59" s="333">
        <f t="shared" si="18"/>
        <v>5.0404335276810902E-2</v>
      </c>
      <c r="L59" s="144" t="s">
        <v>414</v>
      </c>
    </row>
    <row r="60" spans="1:15" ht="41.4" x14ac:dyDescent="0.3">
      <c r="A60" s="194">
        <v>7020</v>
      </c>
      <c r="B60" s="148" t="s">
        <v>189</v>
      </c>
      <c r="C60" s="152" t="s">
        <v>188</v>
      </c>
      <c r="D60" s="199">
        <f>SUMIF('TB21'!A$9:A$86,A60,'TB21'!C$9:D$87)</f>
        <v>3293.29</v>
      </c>
      <c r="E60" s="199">
        <v>2414.17</v>
      </c>
      <c r="F60" s="199">
        <f>SUMIF(CUMTB23!A$9:A$86,A60,CUMTB23!C$9:C$87)</f>
        <v>2249.9160000000002</v>
      </c>
      <c r="G60" s="320">
        <v>4000</v>
      </c>
      <c r="H60" s="320">
        <v>3600</v>
      </c>
      <c r="I60" s="320">
        <v>3600</v>
      </c>
      <c r="J60" s="329">
        <f t="shared" si="17"/>
        <v>0</v>
      </c>
      <c r="K60" s="333">
        <f t="shared" si="18"/>
        <v>0</v>
      </c>
      <c r="L60" s="144" t="s">
        <v>412</v>
      </c>
    </row>
    <row r="61" spans="1:15" x14ac:dyDescent="0.3">
      <c r="A61" s="194">
        <v>7021</v>
      </c>
      <c r="B61" s="148" t="s">
        <v>190</v>
      </c>
      <c r="C61" s="152" t="s">
        <v>53</v>
      </c>
      <c r="D61" s="199">
        <f>SUMIF('TB21'!A$9:A$86,A61,'TB21'!C$9:D$87)</f>
        <v>399.61</v>
      </c>
      <c r="E61" s="199">
        <v>207.43</v>
      </c>
      <c r="F61" s="199">
        <f>SUMIF(CUMTB23!A$9:A$86,A61,CUMTB23!C$9:C$87)</f>
        <v>149.88</v>
      </c>
      <c r="G61" s="320">
        <v>75</v>
      </c>
      <c r="H61" s="320">
        <v>600</v>
      </c>
      <c r="I61" s="320">
        <v>600</v>
      </c>
      <c r="J61" s="329">
        <f t="shared" si="17"/>
        <v>0</v>
      </c>
      <c r="K61" s="333">
        <f t="shared" si="18"/>
        <v>0</v>
      </c>
      <c r="L61" s="144" t="s">
        <v>709</v>
      </c>
    </row>
    <row r="62" spans="1:15" x14ac:dyDescent="0.3">
      <c r="A62" s="154">
        <v>7022</v>
      </c>
      <c r="B62" s="148" t="s">
        <v>191</v>
      </c>
      <c r="C62" s="152" t="s">
        <v>54</v>
      </c>
      <c r="D62" s="199">
        <f>SUMIF('TB21'!A$9:A$86,A62,'TB21'!C$9:D$87)</f>
        <v>1152.24</v>
      </c>
      <c r="E62" s="199">
        <v>489.99999999999989</v>
      </c>
      <c r="F62" s="199">
        <f>SUMIF(CUMTB23!A$9:A$86,A62,CUMTB23!C$9:C$87)</f>
        <v>1061.328</v>
      </c>
      <c r="G62" s="320">
        <v>1500</v>
      </c>
      <c r="H62" s="320">
        <v>1200</v>
      </c>
      <c r="I62" s="320">
        <v>1250</v>
      </c>
      <c r="J62" s="329">
        <f t="shared" si="17"/>
        <v>50</v>
      </c>
      <c r="K62" s="333">
        <f t="shared" si="18"/>
        <v>4.1666666666666664E-2</v>
      </c>
      <c r="L62" s="144" t="s">
        <v>452</v>
      </c>
    </row>
    <row r="63" spans="1:15" ht="27.6" x14ac:dyDescent="0.3">
      <c r="A63" s="154">
        <v>7030</v>
      </c>
      <c r="B63" s="148" t="s">
        <v>192</v>
      </c>
      <c r="C63" s="152" t="s">
        <v>413</v>
      </c>
      <c r="D63" s="199">
        <f>SUMIF('TB21'!A$9:A$86,A63,'TB21'!C$9:D$87)</f>
        <v>0.94000000000000006</v>
      </c>
      <c r="E63" s="199">
        <v>103.09</v>
      </c>
      <c r="F63" s="199">
        <f>SUMIF(CUMTB23!A$9:A$86,A63,CUMTB23!C$9:C$87)</f>
        <v>287.66399999999999</v>
      </c>
      <c r="G63" s="320">
        <v>1500</v>
      </c>
      <c r="H63" s="320">
        <v>600</v>
      </c>
      <c r="I63" s="320">
        <v>1000</v>
      </c>
      <c r="J63" s="329">
        <f t="shared" si="17"/>
        <v>400</v>
      </c>
      <c r="K63" s="333">
        <f t="shared" si="18"/>
        <v>0.66666666666666663</v>
      </c>
      <c r="L63" s="144" t="s">
        <v>451</v>
      </c>
    </row>
    <row r="64" spans="1:15" x14ac:dyDescent="0.3">
      <c r="A64" s="154">
        <v>7031</v>
      </c>
      <c r="B64" s="148" t="s">
        <v>449</v>
      </c>
      <c r="C64" s="152" t="s">
        <v>46</v>
      </c>
      <c r="D64" s="199">
        <f>SUMIF('TB21'!A$9:A$86,A64,'TB21'!C$9:D$87)</f>
        <v>210</v>
      </c>
      <c r="E64" s="199">
        <v>35</v>
      </c>
      <c r="F64" s="199">
        <f>SUMIF(CUMTB23!A$9:A$86,A64,CUMTB23!C$9:C$87)</f>
        <v>42</v>
      </c>
      <c r="G64" s="320">
        <v>750</v>
      </c>
      <c r="H64" s="320">
        <v>0</v>
      </c>
      <c r="I64" s="320">
        <v>200</v>
      </c>
      <c r="J64" s="329">
        <f t="shared" si="17"/>
        <v>200</v>
      </c>
      <c r="K64" s="333">
        <f t="shared" si="18"/>
        <v>1</v>
      </c>
      <c r="L64" s="144" t="s">
        <v>708</v>
      </c>
    </row>
    <row r="65" spans="1:12" x14ac:dyDescent="0.3">
      <c r="A65" s="154">
        <v>7040</v>
      </c>
      <c r="B65" s="148" t="s">
        <v>193</v>
      </c>
      <c r="C65" s="152" t="s">
        <v>116</v>
      </c>
      <c r="D65" s="199">
        <f>SUMIF('TB21'!A$9:A$86,A65,'TB21'!C$9:D$87)</f>
        <v>75.33</v>
      </c>
      <c r="E65" s="202">
        <v>0</v>
      </c>
      <c r="F65" s="199">
        <f>SUMIF(CUMTB23!A$9:A$86,A65,CUMTB23!C$9:C$87)</f>
        <v>1458.6</v>
      </c>
      <c r="G65" s="320">
        <v>0</v>
      </c>
      <c r="H65" s="320">
        <v>0</v>
      </c>
      <c r="I65" s="320">
        <v>0</v>
      </c>
      <c r="J65" s="329">
        <f t="shared" si="17"/>
        <v>0</v>
      </c>
      <c r="K65" s="333">
        <f t="shared" si="18"/>
        <v>0</v>
      </c>
    </row>
    <row r="66" spans="1:12" ht="27.6" x14ac:dyDescent="0.3">
      <c r="A66" s="154">
        <v>7050</v>
      </c>
      <c r="B66" s="148" t="s">
        <v>194</v>
      </c>
      <c r="C66" s="152" t="s">
        <v>47</v>
      </c>
      <c r="D66" s="199">
        <f>SUMIF('TB21'!A$9:A$86,A66,'TB21'!C$9:D$87)</f>
        <v>1231.75</v>
      </c>
      <c r="E66" s="199">
        <v>331.5</v>
      </c>
      <c r="F66" s="199">
        <f>SUMIF(CUMTB23!A$9:A$86,A66,CUMTB23!C$9:C$87)</f>
        <v>903</v>
      </c>
      <c r="G66" s="320">
        <v>900</v>
      </c>
      <c r="H66" s="320">
        <f>D66*2.5</f>
        <v>3079.375</v>
      </c>
      <c r="I66" s="320">
        <f>H66*1.098</f>
        <v>3381.1537500000004</v>
      </c>
      <c r="J66" s="329">
        <f t="shared" si="17"/>
        <v>301.7787500000004</v>
      </c>
      <c r="K66" s="333">
        <f t="shared" si="18"/>
        <v>9.8000000000000129E-2</v>
      </c>
      <c r="L66" s="144" t="s">
        <v>469</v>
      </c>
    </row>
    <row r="67" spans="1:12" x14ac:dyDescent="0.3">
      <c r="A67" s="154">
        <v>7060</v>
      </c>
      <c r="B67" s="148" t="s">
        <v>195</v>
      </c>
      <c r="C67" s="152" t="s">
        <v>48</v>
      </c>
      <c r="D67" s="199">
        <f>SUMIF('TB21'!A$9:A$86,A67,'TB21'!C$9:D$87)</f>
        <v>0</v>
      </c>
      <c r="E67" s="199">
        <v>883.92000000000007</v>
      </c>
      <c r="F67" s="199">
        <f>SUMIF(CUMTB23!A$9:A$86,A67,CUMTB23!C$9:C$87)</f>
        <v>0</v>
      </c>
      <c r="G67" s="320">
        <v>800</v>
      </c>
      <c r="H67" s="320">
        <v>0</v>
      </c>
      <c r="I67" s="320">
        <v>1000</v>
      </c>
      <c r="J67" s="329">
        <f t="shared" si="17"/>
        <v>1000</v>
      </c>
      <c r="K67" s="333">
        <f t="shared" si="18"/>
        <v>1</v>
      </c>
      <c r="L67" s="144" t="s">
        <v>647</v>
      </c>
    </row>
    <row r="68" spans="1:12" x14ac:dyDescent="0.3">
      <c r="A68" s="154">
        <v>7065</v>
      </c>
      <c r="B68" s="148" t="s">
        <v>196</v>
      </c>
      <c r="C68" s="152" t="s">
        <v>49</v>
      </c>
      <c r="D68" s="199">
        <f>SUMIF('TB21'!A$9:A$86,A68,'TB21'!C$9:D$87)</f>
        <v>0</v>
      </c>
      <c r="E68" s="199">
        <v>424.98</v>
      </c>
      <c r="F68" s="199">
        <f>SUMIF(CUMTB23!A$9:A$86,A68,CUMTB23!C$9:C$87)</f>
        <v>0</v>
      </c>
      <c r="J68" s="329">
        <f t="shared" si="17"/>
        <v>0</v>
      </c>
      <c r="K68" s="333">
        <f t="shared" si="18"/>
        <v>0</v>
      </c>
      <c r="L68" s="144" t="s">
        <v>238</v>
      </c>
    </row>
    <row r="69" spans="1:12" ht="27.6" x14ac:dyDescent="0.3">
      <c r="A69" s="154">
        <v>7070</v>
      </c>
      <c r="B69" s="148" t="s">
        <v>197</v>
      </c>
      <c r="C69" s="152" t="s">
        <v>50</v>
      </c>
      <c r="D69" s="199">
        <f>SUMIF('TB21'!A$9:A$86,A69,'TB21'!C$9:D$87)</f>
        <v>515.20000000000005</v>
      </c>
      <c r="E69" s="199">
        <v>948.87</v>
      </c>
      <c r="F69" s="199">
        <f>SUMIF(CUMTB23!A$9:A$86,A69,CUMTB23!C$9:C$87)</f>
        <v>1531.9920000000002</v>
      </c>
      <c r="G69" s="320">
        <v>2000</v>
      </c>
      <c r="H69" s="320">
        <v>1200</v>
      </c>
      <c r="I69" s="320">
        <v>1250</v>
      </c>
      <c r="J69" s="329">
        <f t="shared" si="17"/>
        <v>50</v>
      </c>
      <c r="K69" s="333">
        <f t="shared" si="18"/>
        <v>4.1666666666666664E-2</v>
      </c>
      <c r="L69" s="144" t="s">
        <v>406</v>
      </c>
    </row>
    <row r="70" spans="1:12" x14ac:dyDescent="0.3">
      <c r="A70" s="154">
        <v>7075</v>
      </c>
      <c r="B70" s="148" t="s">
        <v>198</v>
      </c>
      <c r="C70" s="152" t="s">
        <v>51</v>
      </c>
      <c r="D70" s="199">
        <f>SUMIF('TB21'!A$9:A$86,A70,'TB21'!C$9:D$87)</f>
        <v>0</v>
      </c>
      <c r="E70" s="199">
        <v>0</v>
      </c>
      <c r="F70" s="199">
        <f>SUMIF(CUMTB23!A$9:A$86,A70,CUMTB23!C$9:C$87)</f>
        <v>0</v>
      </c>
      <c r="J70" s="329">
        <f t="shared" si="17"/>
        <v>0</v>
      </c>
      <c r="K70" s="333">
        <f t="shared" si="18"/>
        <v>0</v>
      </c>
    </row>
    <row r="71" spans="1:12" x14ac:dyDescent="0.3">
      <c r="A71" s="154">
        <v>7080</v>
      </c>
      <c r="B71" s="148" t="s">
        <v>199</v>
      </c>
      <c r="C71" s="152" t="s">
        <v>52</v>
      </c>
      <c r="D71" s="199">
        <f>SUMIF('TB21'!A$9:A$86,A71,'TB21'!C$9:D$87)</f>
        <v>279.88</v>
      </c>
      <c r="E71" s="199">
        <v>0</v>
      </c>
      <c r="F71" s="199">
        <f>SUMIF(CUMTB23!A$9:A$86,A71,CUMTB23!C$9:C$87)</f>
        <v>0</v>
      </c>
      <c r="G71" s="320">
        <v>0</v>
      </c>
      <c r="H71" s="320">
        <v>0</v>
      </c>
      <c r="I71" s="320">
        <v>0</v>
      </c>
      <c r="J71" s="329">
        <f t="shared" si="17"/>
        <v>0</v>
      </c>
      <c r="K71" s="333">
        <f t="shared" si="18"/>
        <v>0</v>
      </c>
    </row>
    <row r="72" spans="1:12" x14ac:dyDescent="0.3">
      <c r="A72" s="154">
        <v>7120</v>
      </c>
      <c r="B72" s="148" t="s">
        <v>200</v>
      </c>
      <c r="C72" s="152" t="s">
        <v>496</v>
      </c>
      <c r="D72" s="199">
        <f>SUMIF('TB21'!A$9:A$86,A72,'TB21'!C$9:D$87)</f>
        <v>0</v>
      </c>
      <c r="E72" s="199">
        <v>196</v>
      </c>
      <c r="F72" s="199">
        <f>SUMIF(CUMTB23!A$9:A$86,A72,CUMTB23!C$9:C$87)</f>
        <v>8.2800000000000011</v>
      </c>
      <c r="I72" s="320">
        <v>250</v>
      </c>
      <c r="J72" s="329">
        <f t="shared" si="17"/>
        <v>250</v>
      </c>
      <c r="K72" s="333">
        <f t="shared" si="18"/>
        <v>1</v>
      </c>
      <c r="L72" s="144" t="s">
        <v>642</v>
      </c>
    </row>
    <row r="73" spans="1:12" x14ac:dyDescent="0.3">
      <c r="A73" s="154">
        <v>7130</v>
      </c>
      <c r="B73" s="148" t="s">
        <v>201</v>
      </c>
      <c r="C73" s="152" t="s">
        <v>55</v>
      </c>
      <c r="D73" s="199">
        <f>SUMIF('TB21'!A$9:A$86,A73,'TB21'!C$9:D$87)</f>
        <v>0</v>
      </c>
      <c r="E73" s="199">
        <v>0</v>
      </c>
      <c r="F73" s="199">
        <f>SUMIF(CUMTB23!A$9:A$86,A73,CUMTB23!C$9:C$87)</f>
        <v>0</v>
      </c>
      <c r="J73" s="329">
        <f t="shared" si="17"/>
        <v>0</v>
      </c>
      <c r="K73" s="333">
        <f t="shared" si="18"/>
        <v>0</v>
      </c>
    </row>
    <row r="74" spans="1:12" x14ac:dyDescent="0.3">
      <c r="A74" s="154">
        <v>7131</v>
      </c>
      <c r="B74" s="148" t="s">
        <v>202</v>
      </c>
      <c r="C74" s="152" t="s">
        <v>56</v>
      </c>
      <c r="D74" s="199">
        <f>SUMIF('TB21'!A$9:A$86,A74,'TB21'!C$9:D$87)</f>
        <v>0</v>
      </c>
      <c r="E74" s="199">
        <v>0</v>
      </c>
      <c r="F74" s="199">
        <f>SUMIF(CUMTB23!A$9:A$86,A74,CUMTB23!C$9:C$87)</f>
        <v>0</v>
      </c>
      <c r="J74" s="329">
        <f t="shared" si="17"/>
        <v>0</v>
      </c>
      <c r="K74" s="333">
        <f t="shared" si="18"/>
        <v>0</v>
      </c>
    </row>
    <row r="75" spans="1:12" x14ac:dyDescent="0.3">
      <c r="A75" s="154">
        <v>7150</v>
      </c>
      <c r="B75" s="148" t="s">
        <v>203</v>
      </c>
      <c r="C75" s="152" t="s">
        <v>57</v>
      </c>
      <c r="D75" s="199">
        <f>SUMIF('TB21'!A$9:A$86,A75,'TB21'!C$9:D$87)</f>
        <v>0</v>
      </c>
      <c r="E75" s="199">
        <v>0</v>
      </c>
      <c r="F75" s="199">
        <f>SUMIF(CUMTB23!A$9:A$86,A75,CUMTB23!C$9:C$87)</f>
        <v>0</v>
      </c>
      <c r="G75" s="320">
        <v>300</v>
      </c>
      <c r="H75" s="320">
        <v>150</v>
      </c>
      <c r="I75" s="320">
        <v>150</v>
      </c>
      <c r="J75" s="329">
        <f t="shared" si="17"/>
        <v>0</v>
      </c>
      <c r="K75" s="333">
        <f t="shared" si="18"/>
        <v>0</v>
      </c>
    </row>
    <row r="76" spans="1:12" x14ac:dyDescent="0.3">
      <c r="A76" s="154">
        <v>7160</v>
      </c>
      <c r="B76" s="148" t="s">
        <v>204</v>
      </c>
      <c r="C76" s="152" t="s">
        <v>58</v>
      </c>
      <c r="D76" s="199">
        <f>SUMIF('TB21'!A$9:A$86,A76,'TB21'!C$9:D$87)</f>
        <v>0</v>
      </c>
      <c r="E76" s="199">
        <v>15.6</v>
      </c>
      <c r="F76" s="199">
        <f>SUMIF(CUMTB23!A$9:A$86,A76,CUMTB23!C$9:C$87)</f>
        <v>20.879999999999995</v>
      </c>
      <c r="G76" s="320">
        <v>0</v>
      </c>
      <c r="H76" s="320">
        <v>150</v>
      </c>
      <c r="I76" s="320">
        <v>150</v>
      </c>
      <c r="J76" s="329">
        <f t="shared" si="17"/>
        <v>0</v>
      </c>
      <c r="K76" s="333">
        <f t="shared" si="18"/>
        <v>0</v>
      </c>
      <c r="L76" s="144" t="s">
        <v>407</v>
      </c>
    </row>
    <row r="77" spans="1:12" ht="27.6" x14ac:dyDescent="0.3">
      <c r="A77" s="154">
        <v>8000</v>
      </c>
      <c r="B77" s="148" t="s">
        <v>205</v>
      </c>
      <c r="C77" s="152" t="s">
        <v>59</v>
      </c>
      <c r="D77" s="199">
        <f>SUMIF('TB21'!A$9:A$86,A77,'TB21'!C$9:D$87)</f>
        <v>498.23999999999995</v>
      </c>
      <c r="E77" s="199">
        <v>2157.2399999999998</v>
      </c>
      <c r="F77" s="199">
        <f>SUMIF(CUMTB23!A$9:A$86,A77,CUMTB23!C$9:C$87)</f>
        <v>2428.08</v>
      </c>
      <c r="G77" s="320">
        <v>498</v>
      </c>
      <c r="H77" s="320">
        <v>498</v>
      </c>
      <c r="I77" s="320">
        <f>FAR!G9+FAR!G16</f>
        <v>4783.791666666667</v>
      </c>
      <c r="J77" s="329">
        <f t="shared" si="17"/>
        <v>4285.791666666667</v>
      </c>
      <c r="K77" s="333">
        <f t="shared" si="18"/>
        <v>8.6060073627844726</v>
      </c>
      <c r="L77" s="144" t="s">
        <v>643</v>
      </c>
    </row>
    <row r="78" spans="1:12" x14ac:dyDescent="0.3">
      <c r="A78" s="154">
        <v>8010</v>
      </c>
      <c r="B78" s="148" t="s">
        <v>206</v>
      </c>
      <c r="C78" s="152" t="s">
        <v>60</v>
      </c>
      <c r="D78" s="199">
        <f>SUMIF('TB21'!A$9:A$86,A78,'TB21'!C$9:D$87)</f>
        <v>73.72999999999999</v>
      </c>
      <c r="E78" s="199">
        <v>79.75</v>
      </c>
      <c r="F78" s="199">
        <f>SUMIF(CUMTB23!A$9:A$86,A78,CUMTB23!C$9:C$87)</f>
        <v>97.46399999999997</v>
      </c>
      <c r="G78" s="320">
        <v>75</v>
      </c>
      <c r="H78" s="320">
        <v>75</v>
      </c>
      <c r="I78" s="320">
        <v>75</v>
      </c>
      <c r="J78" s="329">
        <f t="shared" si="17"/>
        <v>0</v>
      </c>
      <c r="K78" s="333">
        <f t="shared" si="18"/>
        <v>0</v>
      </c>
    </row>
    <row r="79" spans="1:12" x14ac:dyDescent="0.3">
      <c r="A79" s="154">
        <v>8018</v>
      </c>
      <c r="B79" s="148" t="s">
        <v>207</v>
      </c>
      <c r="C79" s="152" t="s">
        <v>61</v>
      </c>
      <c r="D79" s="199">
        <f>SUMIF('TB21'!A$9:A$86,A79,'TB21'!C$9:D$87)</f>
        <v>0</v>
      </c>
      <c r="E79" s="199">
        <v>0</v>
      </c>
      <c r="F79" s="199">
        <f>SUMIF(CUMTB23!A$9:A$86,A79,CUMTB23!C$9:C$87)</f>
        <v>0</v>
      </c>
      <c r="J79" s="329">
        <f t="shared" si="17"/>
        <v>0</v>
      </c>
      <c r="K79" s="333">
        <f t="shared" si="18"/>
        <v>0</v>
      </c>
    </row>
    <row r="80" spans="1:12" x14ac:dyDescent="0.3">
      <c r="A80" s="154">
        <v>8040</v>
      </c>
      <c r="B80" s="148" t="s">
        <v>208</v>
      </c>
      <c r="C80" s="152" t="s">
        <v>62</v>
      </c>
      <c r="D80" s="199">
        <f>SUMIF('TB21'!A$9:A$86,A80,'TB21'!C$9:D$87)</f>
        <v>5325</v>
      </c>
      <c r="E80" s="199">
        <v>4500</v>
      </c>
      <c r="F80" s="199">
        <f>SUMIF(CUMTB23!A$9:A$86,A80,CUMTB23!C$9:C$87)</f>
        <v>4500</v>
      </c>
      <c r="G80" s="320">
        <f>6000-500</f>
        <v>5500</v>
      </c>
      <c r="H80" s="320">
        <v>5400</v>
      </c>
      <c r="I80" s="320">
        <v>5200</v>
      </c>
      <c r="J80" s="329">
        <f t="shared" si="17"/>
        <v>-200</v>
      </c>
      <c r="K80" s="333">
        <f t="shared" si="18"/>
        <v>-3.7037037037037035E-2</v>
      </c>
      <c r="L80" s="144" t="s">
        <v>656</v>
      </c>
    </row>
    <row r="81" spans="1:15" x14ac:dyDescent="0.3">
      <c r="A81" s="154">
        <v>8045</v>
      </c>
      <c r="B81" s="148" t="s">
        <v>209</v>
      </c>
      <c r="C81" s="152" t="s">
        <v>63</v>
      </c>
      <c r="D81" s="199">
        <f>SUMIF('TB21'!A$9:A$86,A81,'TB21'!C$9:D$87)</f>
        <v>0</v>
      </c>
      <c r="E81" s="199">
        <v>0</v>
      </c>
      <c r="F81" s="199">
        <f>SUMIF(CUMTB23!A$9:A$86,A81,CUMTB23!C$9:C$87)</f>
        <v>0</v>
      </c>
      <c r="J81" s="329">
        <f t="shared" si="17"/>
        <v>0</v>
      </c>
      <c r="K81" s="333">
        <f t="shared" si="18"/>
        <v>0</v>
      </c>
    </row>
    <row r="82" spans="1:15" x14ac:dyDescent="0.3">
      <c r="A82" s="154">
        <v>8056</v>
      </c>
      <c r="B82" s="148" t="s">
        <v>210</v>
      </c>
      <c r="C82" s="152" t="s">
        <v>64</v>
      </c>
      <c r="D82" s="199">
        <f>SUMIF('TB21'!A$9:A$86,A82,'TB21'!C$9:D$87)</f>
        <v>0</v>
      </c>
      <c r="E82" s="199">
        <v>875</v>
      </c>
      <c r="F82" s="199">
        <f>SUMIF(CUMTB23!A$9:A$86,A82,CUMTB23!C$9:C$87)</f>
        <v>210</v>
      </c>
      <c r="G82" s="320">
        <f>500+500</f>
        <v>1000</v>
      </c>
      <c r="H82" s="320">
        <v>1000</v>
      </c>
      <c r="I82" s="320">
        <f>H82*1.1492</f>
        <v>1149.2</v>
      </c>
      <c r="J82" s="329">
        <f t="shared" si="17"/>
        <v>149.20000000000005</v>
      </c>
      <c r="K82" s="333">
        <f t="shared" si="18"/>
        <v>0.14920000000000005</v>
      </c>
      <c r="L82" s="144" t="s">
        <v>666</v>
      </c>
    </row>
    <row r="83" spans="1:15" ht="27.6" x14ac:dyDescent="0.3">
      <c r="A83" s="154">
        <v>8057</v>
      </c>
      <c r="B83" s="148" t="s">
        <v>211</v>
      </c>
      <c r="C83" s="152" t="s">
        <v>65</v>
      </c>
      <c r="D83" s="199">
        <f>SUMIF('TB21'!A$9:A$86,A83,'TB21'!C$9:D$87)</f>
        <v>618.36</v>
      </c>
      <c r="E83" s="199">
        <v>1240</v>
      </c>
      <c r="F83" s="199">
        <f>SUMIF(CUMTB23!A$9:A$86,A83,CUMTB23!C$9:C$87)</f>
        <v>0</v>
      </c>
      <c r="G83" s="320">
        <v>1500</v>
      </c>
      <c r="H83" s="320">
        <v>750</v>
      </c>
      <c r="I83" s="320">
        <v>1500</v>
      </c>
      <c r="J83" s="329">
        <f t="shared" si="17"/>
        <v>750</v>
      </c>
      <c r="K83" s="333">
        <f t="shared" si="18"/>
        <v>1</v>
      </c>
      <c r="L83" s="144" t="s">
        <v>679</v>
      </c>
    </row>
    <row r="84" spans="1:15" x14ac:dyDescent="0.3">
      <c r="A84" s="154">
        <v>8060</v>
      </c>
      <c r="B84" s="148" t="s">
        <v>212</v>
      </c>
      <c r="C84" s="152" t="s">
        <v>67</v>
      </c>
      <c r="D84" s="199">
        <f>SUMIF('TB21'!A$9:A$86,A84,'TB21'!C$9:D$87)</f>
        <v>0</v>
      </c>
      <c r="E84" s="199">
        <v>10000</v>
      </c>
      <c r="F84" s="199">
        <f>SUMIF(CUMTB23!A$9:A$86,A84,CUMTB23!C$9:C$87)</f>
        <v>9999.9599999999991</v>
      </c>
      <c r="G84" s="320">
        <v>10000</v>
      </c>
      <c r="H84" s="320">
        <v>10000</v>
      </c>
      <c r="I84" s="320">
        <v>10000</v>
      </c>
      <c r="J84" s="329">
        <f t="shared" si="17"/>
        <v>0</v>
      </c>
      <c r="K84" s="333">
        <f t="shared" si="18"/>
        <v>0</v>
      </c>
      <c r="L84" s="144" t="s">
        <v>481</v>
      </c>
    </row>
    <row r="85" spans="1:15" ht="27.6" x14ac:dyDescent="0.3">
      <c r="A85" s="154">
        <v>9013</v>
      </c>
      <c r="B85" s="148" t="s">
        <v>213</v>
      </c>
      <c r="C85" s="152" t="s">
        <v>484</v>
      </c>
      <c r="D85" s="199">
        <f>SUMIF('TB21'!A$9:A$86,A85,'TB21'!C$9:D$87)</f>
        <v>643.29999999999995</v>
      </c>
      <c r="E85" s="199">
        <v>1092.17</v>
      </c>
      <c r="F85" s="199">
        <f>SUMIF(CUMTB23!A$9:A$86,A85,CUMTB23!C$9:C$87)</f>
        <v>1088.9760000000001</v>
      </c>
      <c r="G85" s="320">
        <v>750</v>
      </c>
      <c r="H85" s="320">
        <f>63*12</f>
        <v>756</v>
      </c>
      <c r="I85" s="320">
        <f>71*12+475</f>
        <v>1327</v>
      </c>
      <c r="J85" s="329">
        <f t="shared" si="17"/>
        <v>571</v>
      </c>
      <c r="K85" s="333">
        <f t="shared" si="18"/>
        <v>0.75529100529100535</v>
      </c>
      <c r="L85" s="144" t="s">
        <v>692</v>
      </c>
    </row>
    <row r="86" spans="1:15" x14ac:dyDescent="0.3">
      <c r="A86" s="154">
        <v>9928</v>
      </c>
      <c r="B86" s="148" t="s">
        <v>593</v>
      </c>
      <c r="C86" s="152" t="s">
        <v>66</v>
      </c>
      <c r="D86" s="199">
        <f>SUMIF('TB21'!A$9:A$86,A86,'TB21'!C$9:D$87)</f>
        <v>0</v>
      </c>
      <c r="E86" s="199">
        <v>0</v>
      </c>
      <c r="F86" s="199">
        <f>SUMIF(CUMTB23!A$9:A$86,A86,CUMTB23!C$9:C$87)</f>
        <v>0</v>
      </c>
      <c r="G86" s="320">
        <v>75</v>
      </c>
      <c r="H86" s="320">
        <v>50</v>
      </c>
      <c r="I86" s="320">
        <v>50</v>
      </c>
      <c r="J86" s="329">
        <f t="shared" si="17"/>
        <v>0</v>
      </c>
      <c r="K86" s="333">
        <f t="shared" si="18"/>
        <v>0</v>
      </c>
      <c r="L86" s="144" t="s">
        <v>229</v>
      </c>
    </row>
    <row r="87" spans="1:15" s="140" customFormat="1" ht="14.4" thickBot="1" x14ac:dyDescent="0.35">
      <c r="A87" s="195"/>
      <c r="B87" s="195"/>
      <c r="C87" s="139" t="s">
        <v>68</v>
      </c>
      <c r="D87" s="340">
        <f t="shared" ref="D87:I87" si="19">SUBTOTAL(9,D55:D86)</f>
        <v>20255.100000000002</v>
      </c>
      <c r="E87" s="340">
        <f t="shared" si="19"/>
        <v>32653.059999999998</v>
      </c>
      <c r="F87" s="340">
        <f>SUBTOTAL(9,F55:F86)</f>
        <v>30427.463999999996</v>
      </c>
      <c r="G87" s="341">
        <f t="shared" si="19"/>
        <v>36723</v>
      </c>
      <c r="H87" s="341">
        <f t="shared" si="19"/>
        <v>34913.208500000001</v>
      </c>
      <c r="I87" s="341">
        <f t="shared" si="19"/>
        <v>42579.592136666673</v>
      </c>
      <c r="J87" s="341">
        <f t="shared" si="17"/>
        <v>7666.3836366666728</v>
      </c>
      <c r="K87" s="346">
        <f t="shared" si="18"/>
        <v>0.21958404758665112</v>
      </c>
      <c r="L87" s="151"/>
      <c r="M87" s="151"/>
      <c r="N87" s="151"/>
      <c r="O87" s="151"/>
    </row>
    <row r="88" spans="1:15" s="140" customFormat="1" x14ac:dyDescent="0.3">
      <c r="A88" s="195"/>
      <c r="B88" s="195"/>
      <c r="C88" s="139" t="s">
        <v>224</v>
      </c>
      <c r="D88" s="200">
        <f>SUM(D34+D52+D87)</f>
        <v>79723.74733100002</v>
      </c>
      <c r="E88" s="200">
        <f>E9-E86+E87</f>
        <v>225261.12434564947</v>
      </c>
      <c r="F88" s="200">
        <f>F9-F86+F87</f>
        <v>260674.78646999513</v>
      </c>
      <c r="G88" s="323">
        <f>SUM(G34+G52+G87)</f>
        <v>222881.86489999999</v>
      </c>
      <c r="H88" s="323">
        <f>SUM(H34+H52+H87)</f>
        <v>276293.67710299999</v>
      </c>
      <c r="I88" s="323">
        <f>SUM(I34+I52+I87)</f>
        <v>260941.33194489169</v>
      </c>
      <c r="J88" s="323">
        <f t="shared" si="17"/>
        <v>-15352.345158108306</v>
      </c>
      <c r="K88" s="347">
        <f t="shared" si="18"/>
        <v>-5.5565314845714253E-2</v>
      </c>
      <c r="L88" s="151"/>
      <c r="M88" s="151"/>
      <c r="N88" s="151"/>
      <c r="O88" s="151"/>
    </row>
    <row r="89" spans="1:15" s="140" customFormat="1" x14ac:dyDescent="0.3">
      <c r="A89" s="195"/>
      <c r="B89" s="195"/>
      <c r="C89" s="139" t="s">
        <v>214</v>
      </c>
      <c r="D89" s="317">
        <f>LHA!D88*15.6135%</f>
        <v>12447.667289525687</v>
      </c>
      <c r="E89" s="317">
        <f>LHA!E88*15.6135%</f>
        <v>35171.145649707978</v>
      </c>
      <c r="F89" s="317">
        <f>LHA!F88*15.689%</f>
        <v>40897.267249277538</v>
      </c>
      <c r="G89" s="318">
        <f>LHA!G88*15.6135%</f>
        <v>34799.6599761615</v>
      </c>
      <c r="H89" s="318">
        <f>LHA!H88*15.689%</f>
        <v>43347.71500068967</v>
      </c>
      <c r="I89" s="318">
        <f>LHA!I88*15.689%</f>
        <v>40939.08556883406</v>
      </c>
      <c r="J89" s="318">
        <f t="shared" si="17"/>
        <v>-2408.6294318556102</v>
      </c>
      <c r="K89" s="351">
        <f t="shared" si="18"/>
        <v>-5.5565314845714205E-2</v>
      </c>
      <c r="L89" s="151"/>
      <c r="M89" s="151"/>
      <c r="N89" s="151"/>
      <c r="O89" s="151"/>
    </row>
    <row r="90" spans="1:15" s="140" customFormat="1" x14ac:dyDescent="0.3">
      <c r="A90" s="195"/>
      <c r="B90" s="195"/>
      <c r="C90" s="139" t="s">
        <v>80</v>
      </c>
      <c r="D90" s="317">
        <f t="shared" ref="D90:I90" si="20">D9-D88+D89</f>
        <v>127085.10995852567</v>
      </c>
      <c r="E90" s="317">
        <f t="shared" si="20"/>
        <v>2518.0856497079803</v>
      </c>
      <c r="F90" s="317">
        <f t="shared" si="20"/>
        <v>10469.803249277531</v>
      </c>
      <c r="G90" s="318">
        <f t="shared" si="20"/>
        <v>6278.7950761615139</v>
      </c>
      <c r="H90" s="318">
        <f t="shared" si="20"/>
        <v>-11139.687063914491</v>
      </c>
      <c r="I90" s="318">
        <f t="shared" si="20"/>
        <v>12585.373112970577</v>
      </c>
      <c r="J90" s="318">
        <f t="shared" si="17"/>
        <v>23725.060176885068</v>
      </c>
      <c r="K90" s="351">
        <f t="shared" si="18"/>
        <v>-2.1297779767745175</v>
      </c>
      <c r="L90" s="151"/>
      <c r="M90" s="151"/>
      <c r="N90" s="151"/>
      <c r="O90" s="151"/>
    </row>
    <row r="91" spans="1:15" s="140" customFormat="1" x14ac:dyDescent="0.3">
      <c r="A91" s="195"/>
      <c r="B91" s="195"/>
      <c r="C91" s="139"/>
      <c r="D91" s="200"/>
      <c r="E91" s="200"/>
      <c r="F91" s="200"/>
      <c r="G91" s="323"/>
      <c r="H91" s="323"/>
      <c r="I91" s="323"/>
      <c r="J91" s="141"/>
      <c r="K91" s="343"/>
      <c r="L91" s="151"/>
      <c r="M91" s="151"/>
      <c r="N91" s="151"/>
      <c r="O91" s="151"/>
    </row>
    <row r="92" spans="1:15" s="140" customFormat="1" x14ac:dyDescent="0.3">
      <c r="A92" s="195"/>
      <c r="B92" s="195"/>
      <c r="C92" s="139"/>
      <c r="D92" s="200"/>
      <c r="E92" s="200"/>
      <c r="F92" s="200"/>
      <c r="G92" s="323"/>
      <c r="H92" s="323"/>
      <c r="I92" s="323"/>
      <c r="J92" s="141"/>
      <c r="K92" s="343"/>
      <c r="L92" s="151"/>
      <c r="M92" s="151"/>
      <c r="N92" s="151"/>
      <c r="O92" s="151"/>
    </row>
    <row r="94" spans="1:15" x14ac:dyDescent="0.3">
      <c r="G94" s="199"/>
      <c r="H94" s="199"/>
      <c r="I94" s="199"/>
    </row>
    <row r="95" spans="1:15" x14ac:dyDescent="0.3">
      <c r="G95" s="199"/>
      <c r="H95" s="199"/>
      <c r="I95" s="199"/>
    </row>
    <row r="96" spans="1:15" x14ac:dyDescent="0.3">
      <c r="G96" s="199"/>
      <c r="H96" s="199"/>
      <c r="I96" s="199"/>
    </row>
    <row r="97" spans="7:9" x14ac:dyDescent="0.3">
      <c r="G97" s="199"/>
      <c r="H97" s="199"/>
      <c r="I97" s="199"/>
    </row>
    <row r="99" spans="7:9" x14ac:dyDescent="0.3">
      <c r="G99" s="199"/>
      <c r="H99" s="199"/>
      <c r="I99" s="199"/>
    </row>
    <row r="100" spans="7:9" x14ac:dyDescent="0.3">
      <c r="G100" s="199"/>
      <c r="H100" s="199"/>
      <c r="I100" s="199"/>
    </row>
    <row r="101" spans="7:9" x14ac:dyDescent="0.3">
      <c r="G101" s="199"/>
      <c r="H101" s="199"/>
      <c r="I101" s="199"/>
    </row>
    <row r="102" spans="7:9" x14ac:dyDescent="0.3">
      <c r="G102" s="199"/>
      <c r="H102" s="199"/>
      <c r="I102" s="199"/>
    </row>
    <row r="103" spans="7:9" x14ac:dyDescent="0.3">
      <c r="G103" s="199"/>
      <c r="H103" s="199"/>
      <c r="I103" s="199"/>
    </row>
  </sheetData>
  <phoneticPr fontId="7" type="noConversion"/>
  <printOptions horizontalCentered="1" gridLines="1"/>
  <pageMargins left="0.11811023622047245" right="0.11811023622047245" top="0.15748031496062992" bottom="0" header="0.31496062992125984" footer="0.11811023622047245"/>
  <pageSetup paperSize="9" scale="63" orientation="landscape" blackAndWhite="1" r:id="rId1"/>
  <rowBreaks count="2" manualBreakCount="2">
    <brk id="34" max="8" man="1"/>
    <brk id="5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7D2D6-B60D-48FE-A9FF-F77B9DB73A68}">
  <sheetPr>
    <tabColor theme="7"/>
  </sheetPr>
  <dimension ref="A1:V77"/>
  <sheetViews>
    <sheetView view="pageBreakPreview" zoomScaleNormal="100" zoomScaleSheetLayoutView="100" workbookViewId="0">
      <pane xSplit="7" ySplit="3" topLeftCell="L56" activePane="bottomRight" state="frozen"/>
      <selection pane="topRight" activeCell="H1" sqref="H1"/>
      <selection pane="bottomLeft" activeCell="A4" sqref="A4"/>
      <selection pane="bottomRight" activeCell="L10" sqref="L10"/>
    </sheetView>
  </sheetViews>
  <sheetFormatPr defaultColWidth="8.88671875" defaultRowHeight="13.8" x14ac:dyDescent="0.3"/>
  <cols>
    <col min="1" max="1" width="5.77734375" style="47" bestFit="1" customWidth="1"/>
    <col min="2" max="2" width="17.44140625" style="40" bestFit="1" customWidth="1"/>
    <col min="3" max="3" width="37" style="31" bestFit="1" customWidth="1"/>
    <col min="4" max="4" width="11.21875" style="316" customWidth="1"/>
    <col min="5" max="6" width="7.5546875" style="316" bestFit="1" customWidth="1"/>
    <col min="7" max="7" width="11.88671875" style="329" customWidth="1"/>
    <col min="8" max="8" width="11.21875" style="329" bestFit="1" customWidth="1"/>
    <col min="9" max="9" width="11.77734375" style="329" bestFit="1" customWidth="1"/>
    <col min="10" max="10" width="11.77734375" style="329" customWidth="1"/>
    <col min="11" max="11" width="11.77734375" style="333" customWidth="1"/>
    <col min="12" max="12" width="70.77734375" style="360" bestFit="1" customWidth="1"/>
    <col min="13" max="13" width="51.21875" style="50" customWidth="1"/>
    <col min="14" max="16" width="13" style="50" customWidth="1"/>
    <col min="17" max="17" width="10.44140625" style="32" customWidth="1"/>
    <col min="18" max="18" width="40.44140625" style="39" bestFit="1" customWidth="1"/>
    <col min="19" max="19" width="8.88671875" style="167"/>
    <col min="20" max="16384" width="8.88671875" style="31"/>
  </cols>
  <sheetData>
    <row r="1" spans="1:22" s="248" customFormat="1" ht="14.4" customHeight="1" x14ac:dyDescent="0.3">
      <c r="A1" s="364" t="s">
        <v>674</v>
      </c>
      <c r="D1" s="365"/>
      <c r="E1" s="365"/>
      <c r="F1" s="365"/>
      <c r="G1" s="365"/>
      <c r="H1" s="365"/>
      <c r="I1" s="365"/>
      <c r="J1" s="365"/>
      <c r="K1" s="366"/>
      <c r="L1" s="367"/>
      <c r="M1" s="368"/>
      <c r="N1" s="368"/>
      <c r="O1" s="368"/>
      <c r="P1" s="368"/>
      <c r="S1" s="177"/>
    </row>
    <row r="2" spans="1:22" ht="14.4" customHeight="1" x14ac:dyDescent="0.3">
      <c r="A2" s="45"/>
      <c r="B2" s="31"/>
      <c r="G2" s="316"/>
      <c r="H2" s="316"/>
      <c r="I2" s="316"/>
      <c r="J2" s="316"/>
      <c r="K2" s="352"/>
      <c r="L2" s="353"/>
      <c r="M2" s="49"/>
      <c r="N2" s="49"/>
      <c r="O2" s="49"/>
      <c r="P2" s="49"/>
      <c r="Q2" s="31"/>
      <c r="R2" s="31"/>
    </row>
    <row r="3" spans="1:22" s="146" customFormat="1" ht="27.6" x14ac:dyDescent="0.3">
      <c r="A3" s="171" t="s">
        <v>140</v>
      </c>
      <c r="B3" s="145" t="s">
        <v>141</v>
      </c>
      <c r="C3" s="172" t="s">
        <v>69</v>
      </c>
      <c r="D3" s="183" t="str">
        <f>LHA!D3</f>
        <v>ACTUAL 2020-21</v>
      </c>
      <c r="E3" s="183" t="str">
        <f>LHA!E3</f>
        <v>ACTUAL 2021-22</v>
      </c>
      <c r="F3" s="183" t="str">
        <f>LHA!F3</f>
        <v>ACTUAL 2022-23</v>
      </c>
      <c r="G3" s="183" t="str">
        <f>LHA!G3</f>
        <v>BUDGET 2021-22</v>
      </c>
      <c r="H3" s="183" t="str">
        <f>LHA!H3</f>
        <v>BUDGET 2022-23</v>
      </c>
      <c r="I3" s="183" t="str">
        <f>LHA!I3</f>
        <v>BUDGET 2023-24</v>
      </c>
      <c r="J3" s="183" t="str">
        <f>LHA!J3</f>
        <v xml:space="preserve">
VARIANCE</v>
      </c>
      <c r="K3" s="345" t="str">
        <f>LHA!K3</f>
        <v>% CHANGE</v>
      </c>
      <c r="L3" s="354" t="str">
        <f>LHA!J3</f>
        <v xml:space="preserve">
VARIANCE</v>
      </c>
      <c r="M3" s="183"/>
      <c r="N3" s="173"/>
      <c r="O3" s="173"/>
      <c r="P3" s="173"/>
      <c r="Q3" s="174" t="s">
        <v>235</v>
      </c>
      <c r="R3" s="175" t="s">
        <v>236</v>
      </c>
      <c r="S3" s="176"/>
    </row>
    <row r="4" spans="1:22" ht="13.95" customHeight="1" x14ac:dyDescent="0.3">
      <c r="A4" s="43">
        <v>4000</v>
      </c>
      <c r="B4" s="34" t="s">
        <v>142</v>
      </c>
      <c r="C4" s="33" t="s">
        <v>2</v>
      </c>
      <c r="D4" s="316">
        <f>'TB21'!D31</f>
        <v>14547.12</v>
      </c>
      <c r="E4" s="316">
        <f>'WBC OFFER 2022'!L28</f>
        <v>21509.138688295825</v>
      </c>
      <c r="F4" s="198">
        <f>E4*1.05</f>
        <v>22584.595622710618</v>
      </c>
      <c r="G4" s="329">
        <f>15197.13*0.91</f>
        <v>13829.388300000001</v>
      </c>
      <c r="H4" s="329">
        <f>'WBC OFFER 2023'!J12+'WBC OFFER 2023'!J14+'WBC OFFER 2023'!J16</f>
        <v>16825.121847188631</v>
      </c>
      <c r="I4" s="320">
        <f>'WBC OFFER 2023'!P12+'WBC OFFER 2023'!P14+'WBC OFFER 2023'!P16</f>
        <v>28482.929898986815</v>
      </c>
      <c r="J4" s="329">
        <f>IFERROR((I4-H4),"")</f>
        <v>11657.808051798183</v>
      </c>
      <c r="K4" s="333">
        <f>IF(I4&lt;&gt;0,IFERROR((I4-H4)/H4,1),IFERROR((I4-H4)/H4,0))</f>
        <v>0.69288104761904756</v>
      </c>
      <c r="L4" s="334" t="s">
        <v>702</v>
      </c>
      <c r="M4" s="51"/>
      <c r="N4" s="51"/>
      <c r="O4" s="51"/>
      <c r="P4" s="51"/>
      <c r="Q4" s="32" t="str">
        <f>IFERROR((G4-#REF!)/#REF!,"")</f>
        <v/>
      </c>
      <c r="R4" s="35" t="s">
        <v>237</v>
      </c>
      <c r="S4" s="167">
        <f>G4/12</f>
        <v>1152.4490250000001</v>
      </c>
    </row>
    <row r="5" spans="1:22" ht="13.95" customHeight="1" x14ac:dyDescent="0.3">
      <c r="A5" s="43">
        <v>4002</v>
      </c>
      <c r="B5" s="34" t="s">
        <v>475</v>
      </c>
      <c r="C5" s="33" t="s">
        <v>482</v>
      </c>
      <c r="D5" s="316">
        <f>'TB21'!D32</f>
        <v>5106.3099999999995</v>
      </c>
      <c r="E5" s="316">
        <v>0</v>
      </c>
      <c r="F5" s="198">
        <f t="shared" ref="F5:F10" si="0">E5*1.05</f>
        <v>0</v>
      </c>
      <c r="G5" s="329">
        <f>5479.22*0.91</f>
        <v>4986.0902000000006</v>
      </c>
      <c r="H5" s="329">
        <f>'WBC OFFER 2023'!J45</f>
        <v>561.30822035457732</v>
      </c>
      <c r="I5" s="320">
        <f>'WBC OFFER 2023'!P45</f>
        <v>950.22804811104027</v>
      </c>
      <c r="J5" s="329">
        <f t="shared" ref="J5:J23" si="1">IFERROR((I5-H5),"")</f>
        <v>388.91982775646295</v>
      </c>
      <c r="K5" s="333">
        <f t="shared" ref="K5:K12" si="2">IF(I5&lt;&gt;0,IFERROR((I5-H5)/H5,1),IFERROR((I5-H5)/H5,0))</f>
        <v>0.69288104761904801</v>
      </c>
      <c r="L5" s="334" t="s">
        <v>702</v>
      </c>
      <c r="M5" s="51"/>
      <c r="N5" s="51"/>
      <c r="O5" s="51"/>
      <c r="P5" s="51"/>
      <c r="Q5" s="32" t="str">
        <f>IFERROR((G5-#REF!)/#REF!,"")</f>
        <v/>
      </c>
      <c r="R5" s="35"/>
      <c r="S5" s="167">
        <f t="shared" ref="S5:S13" si="3">G5/12</f>
        <v>415.50751666666673</v>
      </c>
      <c r="V5" s="31">
        <f>LHA!J13</f>
        <v>6200</v>
      </c>
    </row>
    <row r="6" spans="1:22" ht="13.95" customHeight="1" x14ac:dyDescent="0.3">
      <c r="A6" s="43">
        <v>4003</v>
      </c>
      <c r="B6" s="34" t="s">
        <v>144</v>
      </c>
      <c r="C6" s="48" t="s">
        <v>70</v>
      </c>
      <c r="D6" s="316">
        <f>'TB21'!D33</f>
        <v>23634.35</v>
      </c>
      <c r="E6" s="316">
        <f>'WBC OFFER 2022'!L38+'WBC OFFER 2022'!L39</f>
        <v>18264.436778928044</v>
      </c>
      <c r="F6" s="198">
        <f t="shared" si="0"/>
        <v>19177.658617874447</v>
      </c>
      <c r="G6" s="329">
        <f>25775.39*0.91</f>
        <v>23455.604900000002</v>
      </c>
      <c r="H6" s="329">
        <f>'WBC OFFER 2023'!J39</f>
        <v>10929.546198302158</v>
      </c>
      <c r="I6" s="329">
        <f>'WBC OFFER 2023'!P39</f>
        <v>18502.421618182543</v>
      </c>
      <c r="J6" s="329">
        <f t="shared" si="1"/>
        <v>7572.8754198803854</v>
      </c>
      <c r="K6" s="333">
        <f t="shared" si="2"/>
        <v>0.69288104761904823</v>
      </c>
      <c r="L6" s="334" t="s">
        <v>702</v>
      </c>
      <c r="M6" s="51"/>
      <c r="N6" s="51"/>
      <c r="O6" s="51"/>
      <c r="P6" s="51"/>
      <c r="Q6" s="32" t="str">
        <f>IFERROR((G6-#REF!)/#REF!,"")</f>
        <v/>
      </c>
      <c r="R6" s="35"/>
      <c r="S6" s="167">
        <f t="shared" si="3"/>
        <v>1954.6337416666668</v>
      </c>
      <c r="V6" s="31">
        <f>LHA!J14</f>
        <v>175</v>
      </c>
    </row>
    <row r="7" spans="1:22" ht="13.95" customHeight="1" x14ac:dyDescent="0.3">
      <c r="A7" s="43">
        <v>4005</v>
      </c>
      <c r="B7" s="34" t="s">
        <v>145</v>
      </c>
      <c r="C7" s="33" t="s">
        <v>6</v>
      </c>
      <c r="D7" s="316">
        <f>'TB21'!D34</f>
        <v>13387.029999999999</v>
      </c>
      <c r="E7" s="316">
        <f>'WBC OFFER 2022'!L46-'WBC OFFER 2022'!L38-'WBC OFFER 2022'!L39</f>
        <v>20867.439461291695</v>
      </c>
      <c r="F7" s="198">
        <f t="shared" si="0"/>
        <v>21910.811434356281</v>
      </c>
      <c r="G7" s="329">
        <f>14071.03*0.91+480</f>
        <v>13284.6373</v>
      </c>
      <c r="H7" s="329">
        <f>'WBC OFFER 2023'!J48</f>
        <v>12421.66175218287</v>
      </c>
      <c r="I7" s="329">
        <f>'WBC OFFER 2023'!P48</f>
        <v>21028.395760204796</v>
      </c>
      <c r="J7" s="329">
        <f t="shared" si="1"/>
        <v>8606.7340080219255</v>
      </c>
      <c r="K7" s="333">
        <f t="shared" si="2"/>
        <v>0.6928810476190479</v>
      </c>
      <c r="L7" s="334" t="s">
        <v>702</v>
      </c>
      <c r="M7" s="51"/>
      <c r="N7" s="51"/>
      <c r="O7" s="51"/>
      <c r="P7" s="51"/>
      <c r="Q7" s="32" t="str">
        <f>IFERROR((G7-#REF!)/#REF!,"")</f>
        <v/>
      </c>
      <c r="R7" s="35"/>
      <c r="S7" s="167">
        <f t="shared" si="3"/>
        <v>1107.0531083333333</v>
      </c>
      <c r="V7" s="31">
        <f>LHA!J15</f>
        <v>0</v>
      </c>
    </row>
    <row r="8" spans="1:22" ht="13.95" customHeight="1" x14ac:dyDescent="0.3">
      <c r="A8" s="43">
        <v>4006</v>
      </c>
      <c r="B8" s="34" t="s">
        <v>146</v>
      </c>
      <c r="C8" s="33" t="s">
        <v>8</v>
      </c>
      <c r="D8" s="316">
        <f>'TB21'!D35</f>
        <v>350.52</v>
      </c>
      <c r="E8" s="316">
        <f>'WBC OFFER 2022'!L50</f>
        <v>300.04791332530021</v>
      </c>
      <c r="F8" s="198">
        <f t="shared" si="0"/>
        <v>315.05030899156526</v>
      </c>
      <c r="G8" s="329">
        <f>404.96*0.91</f>
        <v>368.5136</v>
      </c>
      <c r="H8" s="329">
        <f>'WBC OFFER 2023'!J15</f>
        <v>301.40846484675308</v>
      </c>
      <c r="I8" s="320">
        <f>'WBC OFFER 2023'!P15</f>
        <v>510.24867773102028</v>
      </c>
      <c r="J8" s="329">
        <f t="shared" si="1"/>
        <v>208.8402128842672</v>
      </c>
      <c r="K8" s="333">
        <f t="shared" si="2"/>
        <v>0.69288104761904779</v>
      </c>
      <c r="L8" s="334" t="s">
        <v>702</v>
      </c>
      <c r="M8" s="51"/>
      <c r="N8" s="51"/>
      <c r="O8" s="51"/>
      <c r="P8" s="51"/>
      <c r="Q8" s="32" t="str">
        <f>IFERROR((G8-#REF!)/#REF!,"")</f>
        <v/>
      </c>
      <c r="R8" s="35"/>
      <c r="S8" s="167">
        <f t="shared" si="3"/>
        <v>30.709466666666668</v>
      </c>
      <c r="V8" s="31">
        <f>LHA!J16</f>
        <v>25</v>
      </c>
    </row>
    <row r="9" spans="1:22" ht="13.95" customHeight="1" x14ac:dyDescent="0.3">
      <c r="A9" s="43">
        <v>4012</v>
      </c>
      <c r="B9" s="34" t="s">
        <v>476</v>
      </c>
      <c r="C9" s="33" t="s">
        <v>71</v>
      </c>
      <c r="E9" s="316">
        <f>'WBC OFFER 2022'!L53</f>
        <v>1654.6606206835638</v>
      </c>
      <c r="F9" s="198">
        <f t="shared" si="0"/>
        <v>1737.3936517177422</v>
      </c>
      <c r="I9" s="320">
        <f t="shared" ref="I9:I10" si="4">H9*1.1492</f>
        <v>0</v>
      </c>
      <c r="J9" s="329">
        <f t="shared" si="1"/>
        <v>0</v>
      </c>
      <c r="K9" s="333">
        <f t="shared" si="2"/>
        <v>0</v>
      </c>
      <c r="L9" s="355"/>
      <c r="M9" s="51"/>
      <c r="N9" s="51"/>
      <c r="O9" s="51"/>
      <c r="P9" s="51"/>
      <c r="Q9" s="32" t="str">
        <f>IFERROR((G9-#REF!)/#REF!,"")</f>
        <v/>
      </c>
      <c r="R9" s="35"/>
      <c r="S9" s="167">
        <f t="shared" si="3"/>
        <v>0</v>
      </c>
      <c r="V9" s="31">
        <f>LHA!J16</f>
        <v>25</v>
      </c>
    </row>
    <row r="10" spans="1:22" ht="13.95" customHeight="1" x14ac:dyDescent="0.3">
      <c r="A10" s="43">
        <v>4013</v>
      </c>
      <c r="B10" s="34" t="s">
        <v>477</v>
      </c>
      <c r="C10" s="33" t="s">
        <v>72</v>
      </c>
      <c r="E10" s="316">
        <f>'WBC OFFER 2022'!L55</f>
        <v>179.70258761721018</v>
      </c>
      <c r="F10" s="198">
        <f t="shared" si="0"/>
        <v>188.6877169980707</v>
      </c>
      <c r="I10" s="320">
        <f t="shared" si="4"/>
        <v>0</v>
      </c>
      <c r="J10" s="329">
        <f t="shared" si="1"/>
        <v>0</v>
      </c>
      <c r="K10" s="333">
        <f t="shared" si="2"/>
        <v>0</v>
      </c>
      <c r="L10" s="355"/>
      <c r="M10" s="51"/>
      <c r="N10" s="51"/>
      <c r="O10" s="51"/>
      <c r="P10" s="51"/>
      <c r="Q10" s="32" t="str">
        <f>IFERROR((G10-#REF!)/#REF!,"")</f>
        <v/>
      </c>
      <c r="R10" s="35"/>
      <c r="S10" s="167">
        <f t="shared" si="3"/>
        <v>0</v>
      </c>
      <c r="V10" s="31">
        <f>LHA!J25</f>
        <v>-600</v>
      </c>
    </row>
    <row r="11" spans="1:22" ht="13.95" customHeight="1" x14ac:dyDescent="0.3">
      <c r="A11" s="164">
        <v>4025</v>
      </c>
      <c r="B11" s="34" t="s">
        <v>478</v>
      </c>
      <c r="C11" s="36" t="s">
        <v>234</v>
      </c>
      <c r="I11" s="320">
        <v>0</v>
      </c>
      <c r="J11" s="329">
        <f t="shared" si="1"/>
        <v>0</v>
      </c>
      <c r="K11" s="333">
        <f t="shared" si="2"/>
        <v>0</v>
      </c>
      <c r="L11" s="356"/>
      <c r="M11" s="51"/>
      <c r="N11" s="51"/>
      <c r="O11" s="51"/>
      <c r="P11" s="51"/>
      <c r="Q11" s="32" t="str">
        <f>IFERROR((G11-#REF!)/#REF!,"")</f>
        <v/>
      </c>
      <c r="R11" s="35"/>
      <c r="S11" s="167">
        <f t="shared" si="3"/>
        <v>0</v>
      </c>
      <c r="V11" s="31">
        <f>LHA!J26</f>
        <v>900</v>
      </c>
    </row>
    <row r="12" spans="1:22" ht="13.95" customHeight="1" x14ac:dyDescent="0.3">
      <c r="A12" s="164"/>
      <c r="B12" s="34"/>
      <c r="C12" s="36" t="s">
        <v>696</v>
      </c>
      <c r="F12" s="316">
        <f>CUMTB23!D33*'WBC OFFER 2023'!G7</f>
        <v>5182.2550929368035</v>
      </c>
      <c r="I12" s="320"/>
      <c r="J12" s="329">
        <f t="shared" si="1"/>
        <v>0</v>
      </c>
      <c r="K12" s="333">
        <f t="shared" si="2"/>
        <v>0</v>
      </c>
      <c r="L12" s="334" t="s">
        <v>695</v>
      </c>
      <c r="M12" s="51"/>
      <c r="N12" s="51"/>
      <c r="O12" s="51"/>
      <c r="P12" s="51"/>
      <c r="R12" s="35"/>
    </row>
    <row r="13" spans="1:22" s="248" customFormat="1" ht="14.4" thickBot="1" x14ac:dyDescent="0.35">
      <c r="A13" s="160"/>
      <c r="B13" s="245"/>
      <c r="C13" s="246" t="s">
        <v>73</v>
      </c>
      <c r="D13" s="330">
        <f>SUM(D4:D12)</f>
        <v>57025.329999999994</v>
      </c>
      <c r="E13" s="330">
        <f>SUM(E4:E12)</f>
        <v>62775.426050141643</v>
      </c>
      <c r="F13" s="330">
        <f>SUM(F4:F12)</f>
        <v>71096.452445585528</v>
      </c>
      <c r="G13" s="331">
        <f>SUM(G4:G12)</f>
        <v>55924.234300000004</v>
      </c>
      <c r="H13" s="331">
        <f t="shared" ref="H13:J13" si="5">SUM(H4:H12)</f>
        <v>41039.046482874997</v>
      </c>
      <c r="I13" s="331">
        <f t="shared" si="5"/>
        <v>69474.224003216223</v>
      </c>
      <c r="J13" s="331">
        <f t="shared" si="5"/>
        <v>28435.177520341225</v>
      </c>
      <c r="K13" s="339">
        <f t="shared" ref="K13" si="6">J13/H13</f>
        <v>0.69288104761904779</v>
      </c>
      <c r="L13" s="357" t="s">
        <v>659</v>
      </c>
      <c r="M13" s="247"/>
      <c r="N13" s="247"/>
      <c r="O13" s="247"/>
      <c r="P13" s="247"/>
      <c r="Q13" s="174"/>
      <c r="R13" s="140"/>
      <c r="S13" s="177">
        <f t="shared" si="3"/>
        <v>4660.3528583333336</v>
      </c>
      <c r="T13" s="248">
        <f>S13+LHA!P9</f>
        <v>20857.102858333332</v>
      </c>
      <c r="V13" s="248">
        <f>LHA!J28</f>
        <v>500</v>
      </c>
    </row>
    <row r="14" spans="1:22" s="146" customFormat="1" ht="27.6" x14ac:dyDescent="0.3">
      <c r="A14" s="171"/>
      <c r="B14" s="145" t="s">
        <v>79</v>
      </c>
      <c r="C14" s="172" t="s">
        <v>79</v>
      </c>
      <c r="D14" s="183" t="str">
        <f t="shared" ref="D14:L14" si="7">D3</f>
        <v>ACTUAL 2020-21</v>
      </c>
      <c r="E14" s="183" t="str">
        <f t="shared" si="7"/>
        <v>ACTUAL 2021-22</v>
      </c>
      <c r="F14" s="183" t="str">
        <f>F3</f>
        <v>ACTUAL 2022-23</v>
      </c>
      <c r="G14" s="183" t="str">
        <f t="shared" si="7"/>
        <v>BUDGET 2021-22</v>
      </c>
      <c r="H14" s="183" t="str">
        <f t="shared" si="7"/>
        <v>BUDGET 2022-23</v>
      </c>
      <c r="I14" s="183" t="str">
        <f t="shared" si="7"/>
        <v>BUDGET 2023-24</v>
      </c>
      <c r="J14" s="183" t="str">
        <f t="shared" si="7"/>
        <v xml:space="preserve">
VARIANCE</v>
      </c>
      <c r="K14" s="345" t="str">
        <f t="shared" si="7"/>
        <v>% CHANGE</v>
      </c>
      <c r="L14" s="354" t="str">
        <f t="shared" si="7"/>
        <v xml:space="preserve">
VARIANCE</v>
      </c>
      <c r="M14" s="183"/>
      <c r="N14" s="173"/>
      <c r="O14" s="173"/>
      <c r="P14" s="173"/>
      <c r="Q14" s="174"/>
      <c r="R14" s="175"/>
      <c r="S14" s="176"/>
      <c r="V14" s="146">
        <f>SUM(V5:V13)</f>
        <v>7225</v>
      </c>
    </row>
    <row r="15" spans="1:22" ht="41.4" x14ac:dyDescent="0.3">
      <c r="A15" s="46">
        <v>9000</v>
      </c>
      <c r="B15" s="34" t="s">
        <v>147</v>
      </c>
      <c r="C15" s="33" t="s">
        <v>74</v>
      </c>
      <c r="D15" s="316">
        <f>SUMIF('TB21'!A$2:A$82,A15,'TB21'!C$2:C$82)</f>
        <v>1366.1299999999999</v>
      </c>
      <c r="E15" s="316">
        <v>17979.099999999999</v>
      </c>
      <c r="F15" s="316">
        <f>SUMIF(CUMTB23!A$9:A$86,A15,CUMTB23!C$9:C$87)</f>
        <v>29386.212</v>
      </c>
      <c r="G15" s="329">
        <f>24000-10000</f>
        <v>14000</v>
      </c>
      <c r="H15" s="329">
        <v>16000</v>
      </c>
      <c r="I15" s="329">
        <f>H15*1.1492</f>
        <v>18387.2</v>
      </c>
      <c r="J15" s="329">
        <f t="shared" si="1"/>
        <v>2387.2000000000007</v>
      </c>
      <c r="K15" s="333">
        <f t="shared" ref="K15:K23" si="8">IF(I15&lt;&gt;0,IFERROR((I15-H15)/H15,1),IFERROR((I15-H15)/H15,0))</f>
        <v>0.14920000000000005</v>
      </c>
      <c r="L15" s="358" t="s">
        <v>693</v>
      </c>
      <c r="M15" s="51"/>
      <c r="N15" s="51"/>
      <c r="O15" s="51"/>
      <c r="P15" s="51"/>
      <c r="Q15" s="32">
        <f>IFERROR((G15-D15)/D15,"")</f>
        <v>9.247926624845368</v>
      </c>
      <c r="R15" s="35" t="s">
        <v>245</v>
      </c>
    </row>
    <row r="16" spans="1:22" ht="27.6" x14ac:dyDescent="0.3">
      <c r="A16" s="46">
        <v>9001</v>
      </c>
      <c r="B16" s="34" t="s">
        <v>148</v>
      </c>
      <c r="C16" s="33" t="s">
        <v>75</v>
      </c>
      <c r="D16" s="316">
        <f>SUMIF('TB21'!A$2:A$82,A16,'TB21'!C$2:C$82)</f>
        <v>315</v>
      </c>
      <c r="E16" s="316">
        <v>730</v>
      </c>
      <c r="F16" s="316">
        <f>SUMIF(CUMTB23!A$9:A$86,A16,CUMTB23!C$9:C$87)</f>
        <v>0</v>
      </c>
      <c r="G16" s="329">
        <v>2000</v>
      </c>
      <c r="H16" s="329">
        <v>1000</v>
      </c>
      <c r="I16" s="329">
        <v>1000</v>
      </c>
      <c r="J16" s="329">
        <f t="shared" si="1"/>
        <v>0</v>
      </c>
      <c r="K16" s="333">
        <f t="shared" si="8"/>
        <v>0</v>
      </c>
      <c r="L16" s="358" t="s">
        <v>680</v>
      </c>
      <c r="M16" s="51"/>
      <c r="N16" s="51"/>
      <c r="O16" s="51"/>
      <c r="P16" s="51"/>
      <c r="Q16" s="32">
        <f>IFERROR((G16-D16)/D16,"")</f>
        <v>5.3492063492063489</v>
      </c>
      <c r="R16" s="35"/>
    </row>
    <row r="17" spans="1:19" ht="27.6" x14ac:dyDescent="0.3">
      <c r="A17" s="46">
        <v>9006</v>
      </c>
      <c r="B17" s="34" t="s">
        <v>151</v>
      </c>
      <c r="C17" s="33" t="s">
        <v>694</v>
      </c>
      <c r="D17" s="316">
        <f>SUMIF('TB21'!A$2:A$82,A17,'TB21'!C$2:C$82)</f>
        <v>3993.5</v>
      </c>
      <c r="E17" s="316">
        <v>3324.5800000000004</v>
      </c>
      <c r="F17" s="316">
        <f>SUMIF(CUMTB23!A$9:A$86,A17,CUMTB23!C$9:C$87)</f>
        <v>27105.599999999999</v>
      </c>
      <c r="G17" s="329">
        <f>16000-6000</f>
        <v>10000</v>
      </c>
      <c r="H17" s="329">
        <f>D17*3</f>
        <v>11980.5</v>
      </c>
      <c r="I17" s="329">
        <f>7500*3</f>
        <v>22500</v>
      </c>
      <c r="J17" s="329">
        <f>IFERROR((I17-H17),"")</f>
        <v>10519.5</v>
      </c>
      <c r="K17" s="333">
        <f t="shared" si="8"/>
        <v>0.87805183423062472</v>
      </c>
      <c r="L17" s="358" t="s">
        <v>691</v>
      </c>
      <c r="M17" s="51"/>
      <c r="N17" s="51"/>
      <c r="O17" s="51"/>
      <c r="P17" s="51"/>
      <c r="Q17" s="32">
        <f>IFERROR((G17-D17)/D17,"")</f>
        <v>1.5040691123074996</v>
      </c>
      <c r="R17" s="35" t="s">
        <v>232</v>
      </c>
    </row>
    <row r="18" spans="1:19" x14ac:dyDescent="0.3">
      <c r="A18" s="46">
        <v>9018</v>
      </c>
      <c r="B18" s="34" t="s">
        <v>153</v>
      </c>
      <c r="C18" s="33" t="s">
        <v>233</v>
      </c>
      <c r="D18" s="316">
        <f>SUMIF('TB21'!A$2:A$82,A18,'TB21'!C$2:C$82)</f>
        <v>8907.2199999999993</v>
      </c>
      <c r="E18" s="316">
        <v>2518.89</v>
      </c>
      <c r="F18" s="316">
        <f>SUMIF(CUMTB23!A$9:A$86,A18,CUMTB23!C$9:C$87)</f>
        <v>347.952</v>
      </c>
      <c r="G18" s="329">
        <f>3500-3000</f>
        <v>500</v>
      </c>
      <c r="H18" s="329">
        <v>0</v>
      </c>
      <c r="I18" s="329">
        <f>H18*1.098</f>
        <v>0</v>
      </c>
      <c r="J18" s="329">
        <f>IFERROR((I18-H18),"")</f>
        <v>0</v>
      </c>
      <c r="K18" s="333">
        <f t="shared" si="8"/>
        <v>0</v>
      </c>
      <c r="L18" s="358"/>
      <c r="M18" s="51"/>
      <c r="N18" s="51"/>
      <c r="O18" s="51"/>
      <c r="P18" s="51"/>
      <c r="Q18" s="32">
        <f>IFERROR((G18-D18)/D18,"")</f>
        <v>-0.94386576283060264</v>
      </c>
      <c r="R18" s="35" t="s">
        <v>246</v>
      </c>
    </row>
    <row r="19" spans="1:19" x14ac:dyDescent="0.3">
      <c r="A19" s="46"/>
      <c r="B19" s="34"/>
      <c r="C19" s="33" t="s">
        <v>89</v>
      </c>
      <c r="D19" s="316">
        <f t="shared" ref="D19:I19" si="9">SUBTOTAL(9,D15:D18)</f>
        <v>14581.849999999999</v>
      </c>
      <c r="E19" s="316">
        <f t="shared" si="9"/>
        <v>24552.57</v>
      </c>
      <c r="F19" s="316">
        <f t="shared" si="9"/>
        <v>56839.763999999996</v>
      </c>
      <c r="G19" s="329">
        <f t="shared" si="9"/>
        <v>26500</v>
      </c>
      <c r="H19" s="329">
        <f t="shared" si="9"/>
        <v>28980.5</v>
      </c>
      <c r="I19" s="329">
        <f t="shared" si="9"/>
        <v>41887.199999999997</v>
      </c>
      <c r="J19" s="329">
        <f t="shared" si="1"/>
        <v>12906.699999999997</v>
      </c>
      <c r="K19" s="333">
        <f t="shared" si="8"/>
        <v>0.44535808560928891</v>
      </c>
      <c r="L19" s="358" t="str">
        <f>IFERROR((G19-#REF!),"")</f>
        <v/>
      </c>
      <c r="M19" s="51"/>
      <c r="N19" s="51"/>
      <c r="O19" s="51"/>
      <c r="P19" s="51"/>
      <c r="Q19" s="32">
        <f>R19/D19</f>
        <v>0.81732770533231403</v>
      </c>
      <c r="R19" s="35">
        <f>G19-D19</f>
        <v>11918.150000000001</v>
      </c>
    </row>
    <row r="20" spans="1:19" x14ac:dyDescent="0.3">
      <c r="A20" s="46"/>
      <c r="B20" s="34">
        <v>3</v>
      </c>
      <c r="C20" s="33" t="s">
        <v>442</v>
      </c>
      <c r="D20" s="316">
        <f>LHA!D51</f>
        <v>13439.561100000003</v>
      </c>
      <c r="E20" s="316">
        <f>LHA!E51</f>
        <v>12784.724399999999</v>
      </c>
      <c r="F20" s="316">
        <f>LHA!F51</f>
        <v>14021.693280000001</v>
      </c>
      <c r="G20" s="329">
        <f>LHA!G51</f>
        <v>14522.405099999998</v>
      </c>
      <c r="H20" s="329">
        <f>LHA!H51</f>
        <v>16275.545097</v>
      </c>
      <c r="I20" s="329">
        <f>LHA!I51</f>
        <v>17478.745069275006</v>
      </c>
      <c r="J20" s="329">
        <f t="shared" si="1"/>
        <v>1203.1999722750061</v>
      </c>
      <c r="K20" s="333">
        <f t="shared" si="8"/>
        <v>7.3926861748967579E-2</v>
      </c>
      <c r="L20" s="358" t="str">
        <f>IFERROR((G20-#REF!),"")</f>
        <v/>
      </c>
      <c r="M20" s="51"/>
      <c r="N20" s="51"/>
      <c r="O20" s="51"/>
      <c r="P20" s="51"/>
      <c r="Q20" s="32">
        <f>R20/D20</f>
        <v>8.0571381159165623E-2</v>
      </c>
      <c r="R20" s="35">
        <f>G20-D20</f>
        <v>1082.8439999999955</v>
      </c>
    </row>
    <row r="21" spans="1:19" x14ac:dyDescent="0.3">
      <c r="A21" s="46"/>
      <c r="B21" s="34">
        <v>4</v>
      </c>
      <c r="C21" s="33" t="s">
        <v>468</v>
      </c>
      <c r="D21" s="316">
        <f>LHA!D89</f>
        <v>12447.667289525687</v>
      </c>
      <c r="E21" s="316">
        <f>LHA!E89</f>
        <v>35171.145649707978</v>
      </c>
      <c r="F21" s="316">
        <f>LHA!F89</f>
        <v>40897.267249277538</v>
      </c>
      <c r="G21" s="329">
        <f>LHA!G89</f>
        <v>34799.6599761615</v>
      </c>
      <c r="H21" s="329">
        <f>LHA!H89</f>
        <v>43347.71500068967</v>
      </c>
      <c r="I21" s="329">
        <f>LHA!I89</f>
        <v>40939.08556883406</v>
      </c>
      <c r="J21" s="329">
        <f t="shared" si="1"/>
        <v>-2408.6294318556102</v>
      </c>
      <c r="K21" s="333">
        <f t="shared" si="8"/>
        <v>-5.5565314845714205E-2</v>
      </c>
      <c r="L21" s="358"/>
      <c r="M21" s="51"/>
      <c r="N21" s="51"/>
      <c r="O21" s="51"/>
      <c r="P21" s="51"/>
      <c r="R21" s="35"/>
    </row>
    <row r="22" spans="1:19" x14ac:dyDescent="0.3">
      <c r="A22" s="46"/>
      <c r="B22" s="34"/>
      <c r="C22" s="33" t="s">
        <v>216</v>
      </c>
      <c r="D22" s="316">
        <f t="shared" ref="D22:I22" si="10">SUBTOTAL(9,D20:D21)</f>
        <v>25887.228389525691</v>
      </c>
      <c r="E22" s="316">
        <f t="shared" si="10"/>
        <v>47955.870049707977</v>
      </c>
      <c r="F22" s="316">
        <f t="shared" si="10"/>
        <v>54918.960529277538</v>
      </c>
      <c r="G22" s="329">
        <f t="shared" si="10"/>
        <v>49322.065076161496</v>
      </c>
      <c r="H22" s="329">
        <f t="shared" si="10"/>
        <v>59623.260097689672</v>
      </c>
      <c r="I22" s="329">
        <f t="shared" si="10"/>
        <v>58417.830638109066</v>
      </c>
      <c r="J22" s="329">
        <f t="shared" si="1"/>
        <v>-1205.4294595806059</v>
      </c>
      <c r="K22" s="333">
        <f t="shared" si="8"/>
        <v>-2.021743624225799E-2</v>
      </c>
      <c r="L22" s="358" t="str">
        <f>IFERROR((G22-#REF!),"")</f>
        <v/>
      </c>
      <c r="M22" s="51"/>
      <c r="N22" s="51"/>
      <c r="O22" s="51"/>
      <c r="P22" s="51"/>
      <c r="Q22" s="32">
        <f>R22/D22</f>
        <v>0.90526634732816136</v>
      </c>
      <c r="R22" s="35">
        <f>G22-D22</f>
        <v>23434.836686635805</v>
      </c>
    </row>
    <row r="23" spans="1:19" s="140" customFormat="1" ht="14.4" thickBot="1" x14ac:dyDescent="0.35">
      <c r="A23" s="215"/>
      <c r="B23" s="195"/>
      <c r="C23" s="139" t="s">
        <v>80</v>
      </c>
      <c r="D23" s="330">
        <f t="shared" ref="D23:I23" si="11">D13-D19-D22</f>
        <v>16556.251610474304</v>
      </c>
      <c r="E23" s="330">
        <f t="shared" si="11"/>
        <v>-9733.013999566334</v>
      </c>
      <c r="F23" s="330">
        <f t="shared" si="11"/>
        <v>-40662.272083692005</v>
      </c>
      <c r="G23" s="331">
        <f t="shared" si="11"/>
        <v>-19897.830776161492</v>
      </c>
      <c r="H23" s="331">
        <f t="shared" si="11"/>
        <v>-47564.713614814675</v>
      </c>
      <c r="I23" s="331">
        <f t="shared" si="11"/>
        <v>-30830.806634892841</v>
      </c>
      <c r="J23" s="331">
        <f t="shared" si="1"/>
        <v>16733.906979921834</v>
      </c>
      <c r="K23" s="339">
        <f t="shared" si="8"/>
        <v>-0.35181347070509494</v>
      </c>
      <c r="L23" s="359" t="str">
        <f>IFERROR((G23-#REF!),"")</f>
        <v/>
      </c>
      <c r="M23" s="216"/>
      <c r="N23" s="216"/>
      <c r="O23" s="216"/>
      <c r="P23" s="216"/>
      <c r="Q23" s="174">
        <f>R23/D23</f>
        <v>-2.2018318665544525</v>
      </c>
      <c r="R23" s="217">
        <f>G23-D23</f>
        <v>-36454.082386635797</v>
      </c>
      <c r="S23" s="177"/>
    </row>
    <row r="24" spans="1:19" x14ac:dyDescent="0.3">
      <c r="G24" s="316"/>
      <c r="H24" s="316"/>
      <c r="I24" s="316"/>
      <c r="J24" s="316"/>
      <c r="K24" s="352"/>
    </row>
    <row r="77" spans="18:18" x14ac:dyDescent="0.3">
      <c r="R77" s="41"/>
    </row>
  </sheetData>
  <phoneticPr fontId="7" type="noConversion"/>
  <printOptions horizontalCentered="1" gridLines="1"/>
  <pageMargins left="0.31496062992125984" right="0.31496062992125984" top="0.35433070866141736" bottom="0.15748031496062992" header="0.31496062992125984" footer="0.11811023622047245"/>
  <pageSetup paperSize="9" scale="61" orientation="landscape" blackAndWhite="1" verticalDpi="598"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3C8D0-E0C2-4C68-8E52-418C71C01911}">
  <dimension ref="A1:E74"/>
  <sheetViews>
    <sheetView topLeftCell="A12" workbookViewId="0">
      <selection activeCell="C71" sqref="C71"/>
    </sheetView>
  </sheetViews>
  <sheetFormatPr defaultColWidth="9.109375" defaultRowHeight="13.2" x14ac:dyDescent="0.25"/>
  <cols>
    <col min="1" max="1" width="12.33203125" style="300" bestFit="1" customWidth="1"/>
    <col min="2" max="2" width="32.21875" style="300" bestFit="1" customWidth="1"/>
    <col min="3" max="4" width="8.33203125" style="300" bestFit="1" customWidth="1"/>
    <col min="5" max="5" width="11.44140625" style="326" bestFit="1" customWidth="1"/>
    <col min="6" max="6" width="10.44140625" style="300" bestFit="1" customWidth="1"/>
    <col min="7" max="7" width="11.44140625" style="300" bestFit="1" customWidth="1"/>
    <col min="8" max="16384" width="9.109375" style="300"/>
  </cols>
  <sheetData>
    <row r="1" spans="1:4" ht="15" x14ac:dyDescent="0.25">
      <c r="A1" s="311" t="s">
        <v>587</v>
      </c>
      <c r="B1" s="312">
        <v>44953</v>
      </c>
      <c r="C1" s="309" t="s">
        <v>588</v>
      </c>
    </row>
    <row r="2" spans="1:4" x14ac:dyDescent="0.25">
      <c r="A2" s="311" t="s">
        <v>585</v>
      </c>
      <c r="B2" s="310" t="s">
        <v>651</v>
      </c>
    </row>
    <row r="3" spans="1:4" ht="15" x14ac:dyDescent="0.25">
      <c r="C3" s="309" t="s">
        <v>583</v>
      </c>
    </row>
    <row r="4" spans="1:4" x14ac:dyDescent="0.25">
      <c r="A4" s="307" t="s">
        <v>582</v>
      </c>
      <c r="B4" s="308">
        <v>44652</v>
      </c>
    </row>
    <row r="5" spans="1:4" x14ac:dyDescent="0.25">
      <c r="A5" s="307" t="s">
        <v>580</v>
      </c>
      <c r="B5" s="308">
        <v>44957</v>
      </c>
    </row>
    <row r="6" spans="1:4" x14ac:dyDescent="0.25">
      <c r="A6" s="307" t="s">
        <v>578</v>
      </c>
      <c r="B6" s="306">
        <v>1</v>
      </c>
    </row>
    <row r="7" spans="1:4" x14ac:dyDescent="0.25">
      <c r="A7" s="307" t="s">
        <v>577</v>
      </c>
      <c r="B7" s="306">
        <v>99999999</v>
      </c>
    </row>
    <row r="8" spans="1:4" x14ac:dyDescent="0.25">
      <c r="A8" s="305" t="s">
        <v>399</v>
      </c>
      <c r="B8" s="304" t="s">
        <v>91</v>
      </c>
      <c r="C8" s="303" t="s">
        <v>398</v>
      </c>
      <c r="D8" s="303" t="s">
        <v>397</v>
      </c>
    </row>
    <row r="9" spans="1:4" x14ac:dyDescent="0.25">
      <c r="A9" s="302" t="s">
        <v>576</v>
      </c>
      <c r="B9" s="302" t="s">
        <v>595</v>
      </c>
      <c r="C9" s="301">
        <v>11320</v>
      </c>
    </row>
    <row r="10" spans="1:4" x14ac:dyDescent="0.25">
      <c r="A10" s="302" t="s">
        <v>596</v>
      </c>
      <c r="B10" s="302" t="s">
        <v>597</v>
      </c>
      <c r="D10" s="301">
        <v>1669.4000000000003</v>
      </c>
    </row>
    <row r="11" spans="1:4" x14ac:dyDescent="0.25">
      <c r="A11" s="302" t="s">
        <v>575</v>
      </c>
      <c r="B11" s="302" t="s">
        <v>598</v>
      </c>
      <c r="C11" s="301">
        <v>565</v>
      </c>
    </row>
    <row r="12" spans="1:4" x14ac:dyDescent="0.25">
      <c r="A12" s="302" t="s">
        <v>599</v>
      </c>
      <c r="B12" s="302" t="s">
        <v>600</v>
      </c>
      <c r="D12" s="301">
        <v>353.99999999999994</v>
      </c>
    </row>
    <row r="13" spans="1:4" x14ac:dyDescent="0.25">
      <c r="A13" s="302" t="s">
        <v>574</v>
      </c>
      <c r="B13" s="302" t="s">
        <v>390</v>
      </c>
      <c r="D13" s="301">
        <v>32684.040000000015</v>
      </c>
    </row>
    <row r="14" spans="1:4" x14ac:dyDescent="0.25">
      <c r="A14" s="302" t="s">
        <v>573</v>
      </c>
      <c r="B14" s="302" t="s">
        <v>127</v>
      </c>
      <c r="C14" s="301">
        <v>4040.4600000000028</v>
      </c>
    </row>
    <row r="15" spans="1:4" x14ac:dyDescent="0.25">
      <c r="A15" s="302" t="s">
        <v>572</v>
      </c>
      <c r="B15" s="302" t="s">
        <v>388</v>
      </c>
      <c r="C15" s="301">
        <v>555.72</v>
      </c>
    </row>
    <row r="16" spans="1:4" x14ac:dyDescent="0.25">
      <c r="A16" s="302" t="s">
        <v>571</v>
      </c>
      <c r="B16" s="302" t="s">
        <v>386</v>
      </c>
      <c r="D16" s="301">
        <v>86050.25</v>
      </c>
    </row>
    <row r="17" spans="1:4" x14ac:dyDescent="0.25">
      <c r="A17" s="302" t="s">
        <v>570</v>
      </c>
      <c r="B17" s="302" t="s">
        <v>133</v>
      </c>
      <c r="D17" s="301">
        <v>43947.520000000048</v>
      </c>
    </row>
    <row r="18" spans="1:4" x14ac:dyDescent="0.25">
      <c r="A18" s="302" t="s">
        <v>569</v>
      </c>
      <c r="B18" s="302" t="s">
        <v>385</v>
      </c>
      <c r="C18" s="301">
        <v>11802.670000000027</v>
      </c>
    </row>
    <row r="19" spans="1:4" x14ac:dyDescent="0.25">
      <c r="A19" s="302" t="s">
        <v>568</v>
      </c>
      <c r="B19" s="302" t="s">
        <v>383</v>
      </c>
      <c r="C19" s="301">
        <v>50721.71</v>
      </c>
    </row>
    <row r="20" spans="1:4" x14ac:dyDescent="0.25">
      <c r="A20" s="302" t="s">
        <v>567</v>
      </c>
      <c r="B20" s="302" t="s">
        <v>381</v>
      </c>
      <c r="D20" s="301">
        <v>6148.4499999999953</v>
      </c>
    </row>
    <row r="21" spans="1:4" x14ac:dyDescent="0.25">
      <c r="A21" s="302" t="s">
        <v>650</v>
      </c>
      <c r="B21" s="302" t="s">
        <v>380</v>
      </c>
      <c r="D21" s="301">
        <v>30</v>
      </c>
    </row>
    <row r="22" spans="1:4" x14ac:dyDescent="0.25">
      <c r="A22" s="302" t="s">
        <v>565</v>
      </c>
      <c r="B22" s="302" t="s">
        <v>564</v>
      </c>
      <c r="D22" s="301">
        <v>64842.339999999975</v>
      </c>
    </row>
    <row r="23" spans="1:4" x14ac:dyDescent="0.25">
      <c r="A23" s="302" t="s">
        <v>563</v>
      </c>
      <c r="B23" s="302" t="s">
        <v>376</v>
      </c>
      <c r="C23" s="301">
        <v>34086.229999999996</v>
      </c>
    </row>
    <row r="24" spans="1:4" x14ac:dyDescent="0.25">
      <c r="A24" s="302" t="s">
        <v>562</v>
      </c>
      <c r="B24" s="302" t="s">
        <v>375</v>
      </c>
      <c r="C24" s="301">
        <v>30192.719999999987</v>
      </c>
    </row>
    <row r="25" spans="1:4" x14ac:dyDescent="0.25">
      <c r="A25" s="302" t="s">
        <v>561</v>
      </c>
      <c r="B25" s="302" t="s">
        <v>560</v>
      </c>
      <c r="C25" s="301">
        <v>93305.09</v>
      </c>
    </row>
    <row r="26" spans="1:4" x14ac:dyDescent="0.25">
      <c r="A26" s="302" t="s">
        <v>559</v>
      </c>
      <c r="B26" s="302" t="s">
        <v>558</v>
      </c>
      <c r="D26" s="301">
        <v>0.19999999999481588</v>
      </c>
    </row>
    <row r="27" spans="1:4" x14ac:dyDescent="0.25">
      <c r="A27" s="302" t="s">
        <v>557</v>
      </c>
      <c r="B27" s="302" t="s">
        <v>374</v>
      </c>
    </row>
    <row r="28" spans="1:4" x14ac:dyDescent="0.25">
      <c r="A28" s="302" t="s">
        <v>555</v>
      </c>
      <c r="B28" s="302" t="s">
        <v>369</v>
      </c>
      <c r="D28" s="313">
        <v>79976.399999999994</v>
      </c>
    </row>
    <row r="29" spans="1:4" x14ac:dyDescent="0.25">
      <c r="A29" s="302" t="s">
        <v>554</v>
      </c>
      <c r="B29" s="302" t="s">
        <v>553</v>
      </c>
      <c r="D29" s="314">
        <v>9824.4</v>
      </c>
    </row>
    <row r="30" spans="1:4" x14ac:dyDescent="0.25">
      <c r="A30" s="302" t="s">
        <v>552</v>
      </c>
      <c r="B30" s="302" t="s">
        <v>365</v>
      </c>
      <c r="D30" s="314">
        <v>1608.6999999999998</v>
      </c>
    </row>
    <row r="31" spans="1:4" x14ac:dyDescent="0.25">
      <c r="A31" s="302" t="s">
        <v>551</v>
      </c>
      <c r="B31" s="302" t="s">
        <v>364</v>
      </c>
      <c r="D31" s="314">
        <v>130132</v>
      </c>
    </row>
    <row r="32" spans="1:4" x14ac:dyDescent="0.25">
      <c r="A32" s="302" t="s">
        <v>550</v>
      </c>
      <c r="B32" s="302" t="s">
        <v>363</v>
      </c>
      <c r="D32" s="315">
        <v>208.59</v>
      </c>
    </row>
    <row r="33" spans="1:5" x14ac:dyDescent="0.25">
      <c r="A33" s="302" t="s">
        <v>549</v>
      </c>
      <c r="B33" s="302" t="s">
        <v>548</v>
      </c>
      <c r="D33" s="301">
        <v>33191.11</v>
      </c>
    </row>
    <row r="34" spans="1:5" x14ac:dyDescent="0.25">
      <c r="A34" s="302" t="s">
        <v>547</v>
      </c>
      <c r="B34" s="302" t="s">
        <v>362</v>
      </c>
      <c r="D34" s="301">
        <v>1099.599999999997</v>
      </c>
      <c r="E34" s="326" t="s">
        <v>653</v>
      </c>
    </row>
    <row r="35" spans="1:5" x14ac:dyDescent="0.25">
      <c r="A35" s="302" t="s">
        <v>546</v>
      </c>
      <c r="B35" s="302" t="s">
        <v>360</v>
      </c>
      <c r="C35" s="301">
        <v>66464.796000000002</v>
      </c>
      <c r="E35" s="326">
        <v>55387.33</v>
      </c>
    </row>
    <row r="36" spans="1:5" x14ac:dyDescent="0.25">
      <c r="A36" s="302" t="s">
        <v>545</v>
      </c>
      <c r="B36" s="302" t="s">
        <v>359</v>
      </c>
      <c r="C36" s="301">
        <v>49731.600000000006</v>
      </c>
      <c r="E36" s="326">
        <v>41443</v>
      </c>
    </row>
    <row r="37" spans="1:5" x14ac:dyDescent="0.25">
      <c r="A37" s="302" t="s">
        <v>544</v>
      </c>
      <c r="B37" s="302" t="s">
        <v>358</v>
      </c>
      <c r="C37" s="301">
        <v>5744.2920000000013</v>
      </c>
      <c r="E37" s="326">
        <v>4786.9100000000008</v>
      </c>
    </row>
    <row r="38" spans="1:5" x14ac:dyDescent="0.25">
      <c r="A38" s="302" t="s">
        <v>543</v>
      </c>
      <c r="B38" s="302" t="s">
        <v>357</v>
      </c>
      <c r="C38" s="301">
        <v>296.89199999999994</v>
      </c>
      <c r="E38" s="326">
        <v>247.40999999999997</v>
      </c>
    </row>
    <row r="39" spans="1:5" x14ac:dyDescent="0.25">
      <c r="A39" s="302" t="s">
        <v>542</v>
      </c>
      <c r="B39" s="302" t="s">
        <v>356</v>
      </c>
      <c r="C39" s="301">
        <v>1432.3679999999999</v>
      </c>
      <c r="E39" s="326">
        <v>1193.6400000000001</v>
      </c>
    </row>
    <row r="40" spans="1:5" x14ac:dyDescent="0.25">
      <c r="A40" s="302" t="s">
        <v>539</v>
      </c>
      <c r="B40" s="302" t="s">
        <v>354</v>
      </c>
      <c r="C40" s="301">
        <v>29539.691999999988</v>
      </c>
      <c r="E40" s="326">
        <v>24616.409999999993</v>
      </c>
    </row>
    <row r="41" spans="1:5" x14ac:dyDescent="0.25">
      <c r="A41" s="302" t="s">
        <v>538</v>
      </c>
      <c r="B41" s="302" t="s">
        <v>353</v>
      </c>
      <c r="C41" s="301">
        <v>23034.936000000002</v>
      </c>
      <c r="E41" s="326">
        <v>19195.78</v>
      </c>
    </row>
    <row r="42" spans="1:5" x14ac:dyDescent="0.25">
      <c r="A42" s="302" t="s">
        <v>608</v>
      </c>
      <c r="B42" s="302" t="s">
        <v>352</v>
      </c>
      <c r="C42" s="301">
        <v>1024.7280000000001</v>
      </c>
      <c r="E42" s="326">
        <v>853.94</v>
      </c>
    </row>
    <row r="43" spans="1:5" x14ac:dyDescent="0.25">
      <c r="A43" s="302" t="s">
        <v>537</v>
      </c>
      <c r="B43" s="302" t="s">
        <v>351</v>
      </c>
      <c r="C43" s="301">
        <v>990.02399999999977</v>
      </c>
      <c r="E43" s="326">
        <v>825.01999999999987</v>
      </c>
    </row>
    <row r="44" spans="1:5" x14ac:dyDescent="0.25">
      <c r="A44" s="302" t="s">
        <v>532</v>
      </c>
      <c r="B44" s="302" t="s">
        <v>531</v>
      </c>
      <c r="C44" s="301">
        <v>17145.11</v>
      </c>
      <c r="E44" s="326">
        <v>17145.11</v>
      </c>
    </row>
    <row r="45" spans="1:5" x14ac:dyDescent="0.25">
      <c r="A45" s="302" t="s">
        <v>528</v>
      </c>
      <c r="B45" s="302" t="s">
        <v>349</v>
      </c>
      <c r="C45" s="301">
        <v>900</v>
      </c>
      <c r="E45" s="326">
        <v>750</v>
      </c>
    </row>
    <row r="46" spans="1:5" x14ac:dyDescent="0.25">
      <c r="A46" s="302" t="s">
        <v>525</v>
      </c>
      <c r="B46" s="302" t="s">
        <v>348</v>
      </c>
      <c r="C46" s="301">
        <v>2521.8000000000002</v>
      </c>
      <c r="E46" s="326">
        <v>2101.5000000000005</v>
      </c>
    </row>
    <row r="47" spans="1:5" x14ac:dyDescent="0.25">
      <c r="A47" s="302" t="s">
        <v>522</v>
      </c>
      <c r="B47" s="302" t="s">
        <v>347</v>
      </c>
      <c r="C47" s="301">
        <v>410.82</v>
      </c>
      <c r="E47" s="326">
        <v>342.35</v>
      </c>
    </row>
    <row r="48" spans="1:5" x14ac:dyDescent="0.25">
      <c r="A48" s="302" t="s">
        <v>521</v>
      </c>
      <c r="B48" s="302" t="s">
        <v>346</v>
      </c>
      <c r="C48" s="301">
        <v>10228.175999999999</v>
      </c>
      <c r="E48" s="326">
        <v>8523.48</v>
      </c>
    </row>
    <row r="49" spans="1:5" x14ac:dyDescent="0.25">
      <c r="A49" s="302" t="s">
        <v>520</v>
      </c>
      <c r="B49" s="302" t="s">
        <v>345</v>
      </c>
      <c r="C49" s="301">
        <v>2544</v>
      </c>
      <c r="E49" s="326">
        <v>2120</v>
      </c>
    </row>
    <row r="50" spans="1:5" x14ac:dyDescent="0.25">
      <c r="A50" s="302" t="s">
        <v>517</v>
      </c>
      <c r="B50" s="302" t="s">
        <v>344</v>
      </c>
      <c r="C50" s="301">
        <v>1128</v>
      </c>
      <c r="E50" s="326">
        <v>940</v>
      </c>
    </row>
    <row r="51" spans="1:5" x14ac:dyDescent="0.25">
      <c r="A51" s="302" t="s">
        <v>649</v>
      </c>
      <c r="B51" s="302" t="s">
        <v>648</v>
      </c>
      <c r="C51" s="301">
        <v>426.39599999999996</v>
      </c>
      <c r="E51" s="326">
        <v>355.32999999999993</v>
      </c>
    </row>
    <row r="52" spans="1:5" x14ac:dyDescent="0.25">
      <c r="A52" s="302" t="s">
        <v>516</v>
      </c>
      <c r="B52" s="302" t="s">
        <v>343</v>
      </c>
      <c r="C52" s="301">
        <v>1617.6000000000001</v>
      </c>
      <c r="E52" s="326">
        <v>1348</v>
      </c>
    </row>
    <row r="53" spans="1:5" x14ac:dyDescent="0.25">
      <c r="A53" s="302" t="s">
        <v>609</v>
      </c>
      <c r="B53" s="302" t="s">
        <v>594</v>
      </c>
      <c r="C53" s="301">
        <v>368.6400000000001</v>
      </c>
      <c r="E53" s="326">
        <v>307.20000000000005</v>
      </c>
    </row>
    <row r="54" spans="1:5" x14ac:dyDescent="0.25">
      <c r="A54" s="302" t="s">
        <v>514</v>
      </c>
      <c r="B54" s="302" t="s">
        <v>340</v>
      </c>
      <c r="C54" s="301">
        <v>1952.616</v>
      </c>
      <c r="E54" s="326">
        <v>1627.1799999999998</v>
      </c>
    </row>
    <row r="55" spans="1:5" x14ac:dyDescent="0.25">
      <c r="A55" s="302" t="s">
        <v>513</v>
      </c>
      <c r="B55" s="302" t="s">
        <v>339</v>
      </c>
      <c r="C55" s="301">
        <v>2403.5880000000002</v>
      </c>
      <c r="E55" s="326">
        <v>2002.99</v>
      </c>
    </row>
    <row r="56" spans="1:5" x14ac:dyDescent="0.25">
      <c r="A56" s="302" t="s">
        <v>512</v>
      </c>
      <c r="B56" s="302" t="s">
        <v>511</v>
      </c>
      <c r="C56" s="301">
        <v>2249.9160000000002</v>
      </c>
      <c r="E56" s="326">
        <v>1874.9299999999998</v>
      </c>
    </row>
    <row r="57" spans="1:5" x14ac:dyDescent="0.25">
      <c r="A57" s="302" t="s">
        <v>510</v>
      </c>
      <c r="B57" s="302" t="s">
        <v>509</v>
      </c>
      <c r="C57" s="301">
        <v>149.88</v>
      </c>
      <c r="E57" s="326">
        <v>124.89999999999998</v>
      </c>
    </row>
    <row r="58" spans="1:5" x14ac:dyDescent="0.25">
      <c r="A58" s="302" t="s">
        <v>508</v>
      </c>
      <c r="B58" s="302" t="s">
        <v>507</v>
      </c>
      <c r="C58" s="301">
        <v>1061.328</v>
      </c>
      <c r="E58" s="326">
        <v>884.43999999999994</v>
      </c>
    </row>
    <row r="59" spans="1:5" x14ac:dyDescent="0.25">
      <c r="A59" s="302" t="s">
        <v>506</v>
      </c>
      <c r="B59" s="302" t="s">
        <v>505</v>
      </c>
      <c r="C59" s="301">
        <v>287.66399999999999</v>
      </c>
      <c r="E59" s="326">
        <v>239.71999999999997</v>
      </c>
    </row>
    <row r="60" spans="1:5" x14ac:dyDescent="0.25">
      <c r="A60" s="302" t="s">
        <v>504</v>
      </c>
      <c r="B60" s="302" t="s">
        <v>334</v>
      </c>
      <c r="C60" s="301">
        <v>42</v>
      </c>
      <c r="E60" s="326">
        <v>35</v>
      </c>
    </row>
    <row r="61" spans="1:5" x14ac:dyDescent="0.25">
      <c r="A61" s="302" t="s">
        <v>503</v>
      </c>
      <c r="B61" s="302" t="s">
        <v>332</v>
      </c>
      <c r="C61" s="301">
        <v>1458.6</v>
      </c>
      <c r="E61" s="326">
        <v>1215.5</v>
      </c>
    </row>
    <row r="62" spans="1:5" x14ac:dyDescent="0.25">
      <c r="A62" s="302" t="s">
        <v>502</v>
      </c>
      <c r="B62" s="302" t="s">
        <v>331</v>
      </c>
      <c r="C62" s="301">
        <v>903</v>
      </c>
      <c r="E62" s="326">
        <v>752.5</v>
      </c>
    </row>
    <row r="63" spans="1:5" x14ac:dyDescent="0.25">
      <c r="A63" s="302" t="s">
        <v>499</v>
      </c>
      <c r="B63" s="302" t="s">
        <v>498</v>
      </c>
      <c r="C63" s="301">
        <v>1531.9920000000002</v>
      </c>
      <c r="E63" s="326">
        <v>1276.6600000000001</v>
      </c>
    </row>
    <row r="64" spans="1:5" x14ac:dyDescent="0.25">
      <c r="A64" s="302" t="s">
        <v>497</v>
      </c>
      <c r="B64" s="302" t="s">
        <v>496</v>
      </c>
      <c r="C64" s="301">
        <v>8.2800000000000011</v>
      </c>
      <c r="E64" s="326">
        <v>6.9</v>
      </c>
    </row>
    <row r="65" spans="1:5" x14ac:dyDescent="0.25">
      <c r="A65" s="302" t="s">
        <v>495</v>
      </c>
      <c r="B65" s="302" t="s">
        <v>494</v>
      </c>
      <c r="C65" s="301">
        <v>20.879999999999995</v>
      </c>
      <c r="E65" s="326">
        <v>17.399999999999999</v>
      </c>
    </row>
    <row r="66" spans="1:5" x14ac:dyDescent="0.25">
      <c r="A66" s="302" t="s">
        <v>601</v>
      </c>
      <c r="B66" s="302" t="s">
        <v>328</v>
      </c>
      <c r="C66" s="301">
        <v>2428.08</v>
      </c>
      <c r="E66" s="326">
        <v>2023.3999999999996</v>
      </c>
    </row>
    <row r="67" spans="1:5" x14ac:dyDescent="0.25">
      <c r="A67" s="302" t="s">
        <v>493</v>
      </c>
      <c r="B67" s="302" t="s">
        <v>326</v>
      </c>
      <c r="C67" s="301">
        <v>97.46399999999997</v>
      </c>
      <c r="E67" s="326">
        <v>81.219999999999985</v>
      </c>
    </row>
    <row r="68" spans="1:5" x14ac:dyDescent="0.25">
      <c r="A68" s="302" t="s">
        <v>492</v>
      </c>
      <c r="B68" s="302" t="s">
        <v>325</v>
      </c>
      <c r="C68" s="301">
        <v>4500</v>
      </c>
      <c r="E68" s="326">
        <v>3750</v>
      </c>
    </row>
    <row r="69" spans="1:5" x14ac:dyDescent="0.25">
      <c r="A69" s="302" t="s">
        <v>491</v>
      </c>
      <c r="B69" s="302" t="s">
        <v>490</v>
      </c>
      <c r="C69" s="301">
        <v>210</v>
      </c>
      <c r="E69" s="326">
        <v>175</v>
      </c>
    </row>
    <row r="70" spans="1:5" x14ac:dyDescent="0.25">
      <c r="A70" s="302" t="s">
        <v>614</v>
      </c>
      <c r="B70" s="302" t="s">
        <v>615</v>
      </c>
      <c r="C70" s="301">
        <v>9999.9599999999991</v>
      </c>
      <c r="E70" s="326">
        <v>8333.2999999999993</v>
      </c>
    </row>
    <row r="71" spans="1:5" x14ac:dyDescent="0.25">
      <c r="A71" s="302" t="s">
        <v>488</v>
      </c>
      <c r="B71" s="302" t="s">
        <v>324</v>
      </c>
      <c r="C71" s="301">
        <v>29386.212</v>
      </c>
      <c r="E71" s="326">
        <v>24488.51</v>
      </c>
    </row>
    <row r="72" spans="1:5" x14ac:dyDescent="0.25">
      <c r="A72" s="302" t="s">
        <v>486</v>
      </c>
      <c r="B72" s="302" t="s">
        <v>322</v>
      </c>
      <c r="C72" s="301">
        <v>27105.599999999999</v>
      </c>
      <c r="E72" s="326">
        <v>22588</v>
      </c>
    </row>
    <row r="73" spans="1:5" x14ac:dyDescent="0.25">
      <c r="A73" s="302" t="s">
        <v>485</v>
      </c>
      <c r="B73" s="302" t="s">
        <v>484</v>
      </c>
      <c r="C73" s="301">
        <v>1088.9760000000001</v>
      </c>
      <c r="E73" s="326">
        <v>907.48</v>
      </c>
    </row>
    <row r="74" spans="1:5" x14ac:dyDescent="0.25">
      <c r="A74" s="302" t="s">
        <v>483</v>
      </c>
      <c r="B74" s="302" t="s">
        <v>320</v>
      </c>
      <c r="C74" s="301">
        <v>347.952</v>
      </c>
      <c r="E74" s="326">
        <v>289.95999999999998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981ED-4132-402C-9CF0-D77C03C1662E}">
  <dimension ref="A1:I96"/>
  <sheetViews>
    <sheetView topLeftCell="A15" workbookViewId="0">
      <selection activeCell="K14" sqref="K14"/>
    </sheetView>
  </sheetViews>
  <sheetFormatPr defaultColWidth="9.109375" defaultRowHeight="13.2" x14ac:dyDescent="0.25"/>
  <cols>
    <col min="1" max="1" width="12.33203125" style="270" bestFit="1" customWidth="1"/>
    <col min="2" max="2" width="32.21875" style="270" bestFit="1" customWidth="1"/>
    <col min="3" max="3" width="38.21875" style="270" bestFit="1" customWidth="1"/>
    <col min="4" max="4" width="11" style="270" bestFit="1" customWidth="1"/>
    <col min="5" max="5" width="11.44140625" style="270" bestFit="1" customWidth="1"/>
    <col min="6" max="6" width="3.5546875" style="270" hidden="1" customWidth="1"/>
    <col min="7" max="8" width="10.44140625" style="270" hidden="1" customWidth="1"/>
    <col min="9" max="9" width="9.109375" style="270" hidden="1" customWidth="1"/>
    <col min="10" max="10" width="0" style="270" hidden="1" customWidth="1"/>
    <col min="11" max="16384" width="9.109375" style="270"/>
  </cols>
  <sheetData>
    <row r="1" spans="1:8" ht="15" x14ac:dyDescent="0.25">
      <c r="A1" s="267" t="s">
        <v>587</v>
      </c>
      <c r="B1" s="268">
        <v>44700</v>
      </c>
      <c r="C1" s="269" t="s">
        <v>588</v>
      </c>
      <c r="D1" s="269"/>
      <c r="G1" s="270" t="s">
        <v>586</v>
      </c>
      <c r="H1" s="270">
        <v>1</v>
      </c>
    </row>
    <row r="2" spans="1:8" x14ac:dyDescent="0.25">
      <c r="A2" s="267" t="s">
        <v>585</v>
      </c>
      <c r="B2" s="271" t="s">
        <v>584</v>
      </c>
    </row>
    <row r="3" spans="1:8" ht="15" x14ac:dyDescent="0.25">
      <c r="C3" s="269" t="s">
        <v>583</v>
      </c>
      <c r="D3" s="269"/>
    </row>
    <row r="4" spans="1:8" x14ac:dyDescent="0.25">
      <c r="A4" s="272" t="s">
        <v>582</v>
      </c>
      <c r="B4" s="273">
        <v>44287</v>
      </c>
      <c r="F4" s="272" t="s">
        <v>581</v>
      </c>
      <c r="H4" s="270">
        <v>0</v>
      </c>
    </row>
    <row r="5" spans="1:8" x14ac:dyDescent="0.25">
      <c r="A5" s="272" t="s">
        <v>580</v>
      </c>
      <c r="B5" s="273">
        <v>44651</v>
      </c>
      <c r="F5" s="272" t="s">
        <v>579</v>
      </c>
      <c r="H5" s="270">
        <v>999</v>
      </c>
    </row>
    <row r="6" spans="1:8" x14ac:dyDescent="0.25">
      <c r="A6" s="272" t="s">
        <v>578</v>
      </c>
      <c r="B6" s="274">
        <v>1</v>
      </c>
    </row>
    <row r="7" spans="1:8" x14ac:dyDescent="0.25">
      <c r="A7" s="272" t="s">
        <v>577</v>
      </c>
      <c r="B7" s="274">
        <v>99999999</v>
      </c>
    </row>
    <row r="8" spans="1:8" s="275" customFormat="1" x14ac:dyDescent="0.25">
      <c r="A8" s="281" t="s">
        <v>399</v>
      </c>
      <c r="B8" s="282" t="s">
        <v>91</v>
      </c>
      <c r="C8" s="283" t="s">
        <v>398</v>
      </c>
      <c r="D8" s="283" t="s">
        <v>397</v>
      </c>
    </row>
    <row r="9" spans="1:8" s="275" customFormat="1" ht="13.8" x14ac:dyDescent="0.3">
      <c r="A9" s="284" t="s">
        <v>576</v>
      </c>
      <c r="B9" s="284" t="s">
        <v>595</v>
      </c>
      <c r="C9" s="169"/>
      <c r="D9" s="169">
        <v>648.34</v>
      </c>
    </row>
    <row r="10" spans="1:8" s="275" customFormat="1" ht="13.8" x14ac:dyDescent="0.3">
      <c r="A10" s="284" t="s">
        <v>596</v>
      </c>
      <c r="B10" s="284" t="s">
        <v>597</v>
      </c>
      <c r="C10" s="169">
        <v>1841.0400000000006</v>
      </c>
      <c r="D10" s="169"/>
    </row>
    <row r="11" spans="1:8" s="275" customFormat="1" ht="13.8" x14ac:dyDescent="0.3">
      <c r="A11" s="284" t="s">
        <v>575</v>
      </c>
      <c r="B11" s="284" t="s">
        <v>598</v>
      </c>
      <c r="C11" s="169"/>
      <c r="D11" s="169">
        <v>315.83000000000004</v>
      </c>
    </row>
    <row r="12" spans="1:8" ht="13.8" x14ac:dyDescent="0.3">
      <c r="A12" s="284" t="s">
        <v>599</v>
      </c>
      <c r="B12" s="284" t="s">
        <v>600</v>
      </c>
      <c r="C12" s="169">
        <v>316.20000000000005</v>
      </c>
      <c r="D12" s="169"/>
    </row>
    <row r="13" spans="1:8" ht="13.8" x14ac:dyDescent="0.3">
      <c r="A13" s="284" t="s">
        <v>574</v>
      </c>
      <c r="B13" s="284" t="s">
        <v>390</v>
      </c>
      <c r="C13" s="169"/>
      <c r="D13" s="169">
        <v>29946.919999999987</v>
      </c>
      <c r="G13" s="276"/>
      <c r="H13" s="276"/>
    </row>
    <row r="14" spans="1:8" ht="13.8" x14ac:dyDescent="0.3">
      <c r="A14" s="284" t="s">
        <v>573</v>
      </c>
      <c r="B14" s="284" t="s">
        <v>127</v>
      </c>
      <c r="C14" s="169"/>
      <c r="D14" s="169">
        <v>5354.3400000000011</v>
      </c>
    </row>
    <row r="15" spans="1:8" ht="13.8" x14ac:dyDescent="0.3">
      <c r="A15" s="284" t="s">
        <v>572</v>
      </c>
      <c r="B15" s="284" t="s">
        <v>388</v>
      </c>
      <c r="C15" s="169"/>
      <c r="D15" s="169">
        <v>143.37000000000012</v>
      </c>
      <c r="G15" s="276"/>
      <c r="H15" s="276"/>
    </row>
    <row r="16" spans="1:8" ht="13.8" x14ac:dyDescent="0.3">
      <c r="A16" s="284" t="s">
        <v>571</v>
      </c>
      <c r="B16" s="284" t="s">
        <v>386</v>
      </c>
      <c r="C16" s="169"/>
      <c r="D16" s="169">
        <v>15521.469999999987</v>
      </c>
      <c r="G16" s="276"/>
      <c r="H16" s="276"/>
    </row>
    <row r="17" spans="1:8" ht="13.8" x14ac:dyDescent="0.3">
      <c r="A17" s="284" t="s">
        <v>570</v>
      </c>
      <c r="B17" s="284" t="s">
        <v>133</v>
      </c>
      <c r="C17" s="169">
        <v>22428.790000000052</v>
      </c>
      <c r="D17" s="169"/>
      <c r="G17" s="276"/>
      <c r="H17" s="276"/>
    </row>
    <row r="18" spans="1:8" ht="13.8" x14ac:dyDescent="0.3">
      <c r="A18" s="284" t="s">
        <v>569</v>
      </c>
      <c r="B18" s="284" t="s">
        <v>385</v>
      </c>
      <c r="C18" s="169">
        <v>97396.73</v>
      </c>
      <c r="D18" s="169"/>
      <c r="G18" s="276"/>
      <c r="H18" s="276"/>
    </row>
    <row r="19" spans="1:8" ht="13.8" x14ac:dyDescent="0.3">
      <c r="A19" s="284" t="s">
        <v>568</v>
      </c>
      <c r="B19" s="284" t="s">
        <v>383</v>
      </c>
      <c r="C19" s="169">
        <v>34248.849999999977</v>
      </c>
      <c r="D19" s="169"/>
    </row>
    <row r="20" spans="1:8" ht="13.8" x14ac:dyDescent="0.3">
      <c r="A20" s="284" t="s">
        <v>567</v>
      </c>
      <c r="B20" s="284" t="s">
        <v>381</v>
      </c>
      <c r="C20" s="169"/>
      <c r="D20" s="169">
        <v>126895.66000000021</v>
      </c>
    </row>
    <row r="21" spans="1:8" ht="13.8" x14ac:dyDescent="0.3">
      <c r="A21" s="284" t="s">
        <v>566</v>
      </c>
      <c r="B21" s="284" t="s">
        <v>378</v>
      </c>
      <c r="C21" s="169"/>
      <c r="D21" s="169">
        <v>16.72</v>
      </c>
    </row>
    <row r="22" spans="1:8" ht="13.8" x14ac:dyDescent="0.3">
      <c r="A22" s="284" t="s">
        <v>565</v>
      </c>
      <c r="B22" s="284" t="s">
        <v>564</v>
      </c>
      <c r="C22" s="169"/>
      <c r="D22" s="169"/>
    </row>
    <row r="23" spans="1:8" ht="13.8" x14ac:dyDescent="0.3">
      <c r="A23" s="284" t="s">
        <v>563</v>
      </c>
      <c r="B23" s="284" t="s">
        <v>376</v>
      </c>
      <c r="C23" s="169"/>
      <c r="D23" s="169">
        <v>4095.4899999999943</v>
      </c>
    </row>
    <row r="24" spans="1:8" ht="13.8" x14ac:dyDescent="0.3">
      <c r="A24" s="284" t="s">
        <v>562</v>
      </c>
      <c r="B24" s="284" t="s">
        <v>375</v>
      </c>
      <c r="C24" s="169"/>
      <c r="D24" s="169">
        <v>535.68000000000006</v>
      </c>
    </row>
    <row r="25" spans="1:8" ht="13.8" x14ac:dyDescent="0.3">
      <c r="A25" s="284" t="s">
        <v>561</v>
      </c>
      <c r="B25" s="284" t="s">
        <v>560</v>
      </c>
      <c r="C25" s="169"/>
      <c r="D25" s="169"/>
    </row>
    <row r="26" spans="1:8" ht="13.8" x14ac:dyDescent="0.3">
      <c r="A26" s="284" t="s">
        <v>559</v>
      </c>
      <c r="B26" s="284" t="s">
        <v>558</v>
      </c>
      <c r="C26" s="169"/>
      <c r="D26" s="169">
        <v>1.9999999998844942E-2</v>
      </c>
    </row>
    <row r="27" spans="1:8" ht="13.8" x14ac:dyDescent="0.3">
      <c r="A27" s="284" t="s">
        <v>557</v>
      </c>
      <c r="B27" s="284" t="s">
        <v>374</v>
      </c>
      <c r="C27" s="169"/>
      <c r="D27" s="169">
        <v>23229.320000000003</v>
      </c>
      <c r="G27" s="277"/>
      <c r="H27" s="277"/>
    </row>
    <row r="28" spans="1:8" ht="13.8" x14ac:dyDescent="0.3">
      <c r="A28" s="284" t="s">
        <v>602</v>
      </c>
      <c r="B28" s="284" t="s">
        <v>373</v>
      </c>
      <c r="C28" s="169">
        <v>61470.7</v>
      </c>
      <c r="D28" s="169"/>
      <c r="G28" s="278" t="s">
        <v>589</v>
      </c>
      <c r="H28" s="278" t="s">
        <v>590</v>
      </c>
    </row>
    <row r="29" spans="1:8" ht="13.8" x14ac:dyDescent="0.3">
      <c r="A29" s="284" t="s">
        <v>556</v>
      </c>
      <c r="B29" s="284" t="s">
        <v>370</v>
      </c>
      <c r="C29" s="169"/>
      <c r="D29" s="169"/>
      <c r="G29" s="276">
        <f>'WBC OFFER 2023'!I12</f>
        <v>80987.251093119601</v>
      </c>
      <c r="H29" s="276">
        <f>'WBC OFFER 2023'!J12</f>
        <v>14984.425312383362</v>
      </c>
    </row>
    <row r="30" spans="1:8" ht="13.8" x14ac:dyDescent="0.3">
      <c r="A30" s="284" t="s">
        <v>555</v>
      </c>
      <c r="B30" s="284" t="s">
        <v>369</v>
      </c>
      <c r="C30" s="169"/>
      <c r="D30" s="169">
        <v>14547.120000000024</v>
      </c>
      <c r="G30" s="276">
        <f>'WBC OFFER 2023'!I13</f>
        <v>129241.45644715696</v>
      </c>
      <c r="H30" s="276">
        <f>'WBC OFFER 2023'!J13</f>
        <v>23912.516170839604</v>
      </c>
    </row>
    <row r="31" spans="1:8" ht="13.8" x14ac:dyDescent="0.3">
      <c r="A31" s="284" t="s">
        <v>554</v>
      </c>
      <c r="B31" s="284" t="s">
        <v>553</v>
      </c>
      <c r="C31" s="169"/>
      <c r="D31" s="169"/>
      <c r="G31" s="276">
        <f>'WBC OFFER 2023'!I14</f>
        <v>8973.9234709224493</v>
      </c>
      <c r="H31" s="276">
        <f>'WBC OFFER 2023'!J14</f>
        <v>1660.373505633228</v>
      </c>
    </row>
    <row r="32" spans="1:8" ht="13.8" x14ac:dyDescent="0.3">
      <c r="A32" s="284" t="s">
        <v>603</v>
      </c>
      <c r="B32" s="284" t="s">
        <v>368</v>
      </c>
      <c r="C32" s="169"/>
      <c r="D32" s="169">
        <v>5106.3099999999995</v>
      </c>
      <c r="G32" s="276">
        <f>'WBC OFFER 2023'!I15</f>
        <v>1629.0409885765</v>
      </c>
      <c r="H32" s="276">
        <f>'WBC OFFER 2023'!J15</f>
        <v>301.40846484675308</v>
      </c>
    </row>
    <row r="33" spans="1:8" ht="13.8" x14ac:dyDescent="0.3">
      <c r="A33" s="284" t="s">
        <v>604</v>
      </c>
      <c r="B33" s="284" t="s">
        <v>367</v>
      </c>
      <c r="C33" s="169"/>
      <c r="D33" s="169">
        <v>23634.35</v>
      </c>
      <c r="G33" s="276">
        <f>'WBC OFFER 2023'!I16</f>
        <v>974.60303862031685</v>
      </c>
      <c r="H33" s="276">
        <f>'WBC OFFER 2023'!J16</f>
        <v>180.32302917204095</v>
      </c>
    </row>
    <row r="34" spans="1:8" ht="13.8" x14ac:dyDescent="0.3">
      <c r="A34" s="284" t="s">
        <v>605</v>
      </c>
      <c r="B34" s="284" t="s">
        <v>366</v>
      </c>
      <c r="C34" s="169">
        <v>10819.590000000004</v>
      </c>
      <c r="D34" s="169"/>
      <c r="G34" s="276">
        <f>'WBC OFFER 2023'!I17</f>
        <v>0</v>
      </c>
      <c r="H34" s="276">
        <f>'WBC OFFER 2023'!J17</f>
        <v>0</v>
      </c>
    </row>
    <row r="35" spans="1:8" ht="13.8" x14ac:dyDescent="0.3">
      <c r="A35" s="284" t="s">
        <v>552</v>
      </c>
      <c r="B35" s="284" t="s">
        <v>365</v>
      </c>
      <c r="C35" s="169"/>
      <c r="D35" s="169">
        <v>350.51999999999975</v>
      </c>
      <c r="G35" s="276"/>
      <c r="H35" s="276"/>
    </row>
    <row r="36" spans="1:8" ht="13.8" x14ac:dyDescent="0.3">
      <c r="A36" s="284" t="s">
        <v>551</v>
      </c>
      <c r="B36" s="284" t="s">
        <v>364</v>
      </c>
      <c r="C36" s="169"/>
      <c r="D36" s="169">
        <v>171792.4</v>
      </c>
    </row>
    <row r="37" spans="1:8" ht="13.8" x14ac:dyDescent="0.3">
      <c r="A37" s="284" t="s">
        <v>550</v>
      </c>
      <c r="B37" s="284" t="s">
        <v>363</v>
      </c>
      <c r="C37" s="169"/>
      <c r="D37" s="169">
        <v>88.31</v>
      </c>
    </row>
    <row r="38" spans="1:8" ht="13.8" x14ac:dyDescent="0.3">
      <c r="A38" s="284" t="s">
        <v>549</v>
      </c>
      <c r="B38" s="284" t="s">
        <v>548</v>
      </c>
      <c r="C38" s="169"/>
      <c r="D38" s="169"/>
    </row>
    <row r="39" spans="1:8" ht="13.8" x14ac:dyDescent="0.3">
      <c r="A39" s="284" t="s">
        <v>547</v>
      </c>
      <c r="B39" s="284" t="s">
        <v>362</v>
      </c>
      <c r="C39" s="169"/>
      <c r="D39" s="169">
        <v>2579.3000000000065</v>
      </c>
    </row>
    <row r="40" spans="1:8" ht="13.8" x14ac:dyDescent="0.3">
      <c r="A40" s="284" t="s">
        <v>606</v>
      </c>
      <c r="B40" s="284" t="s">
        <v>361</v>
      </c>
      <c r="C40" s="169"/>
      <c r="D40" s="169">
        <v>130</v>
      </c>
    </row>
    <row r="41" spans="1:8" ht="13.8" x14ac:dyDescent="0.3">
      <c r="A41" s="284" t="s">
        <v>546</v>
      </c>
      <c r="B41" s="284" t="s">
        <v>360</v>
      </c>
      <c r="C41" s="169">
        <v>55430.819999999978</v>
      </c>
      <c r="D41" s="169"/>
    </row>
    <row r="42" spans="1:8" ht="13.8" x14ac:dyDescent="0.3">
      <c r="A42" s="284" t="s">
        <v>545</v>
      </c>
      <c r="B42" s="284" t="s">
        <v>359</v>
      </c>
      <c r="C42" s="169">
        <v>49138.119999999995</v>
      </c>
      <c r="D42" s="169"/>
    </row>
    <row r="43" spans="1:8" ht="13.8" x14ac:dyDescent="0.3">
      <c r="A43" s="284" t="s">
        <v>544</v>
      </c>
      <c r="B43" s="284" t="s">
        <v>358</v>
      </c>
      <c r="C43" s="169">
        <v>5224.83</v>
      </c>
      <c r="D43" s="169"/>
    </row>
    <row r="44" spans="1:8" ht="13.8" x14ac:dyDescent="0.3">
      <c r="A44" s="284" t="s">
        <v>543</v>
      </c>
      <c r="B44" s="284" t="s">
        <v>357</v>
      </c>
      <c r="C44" s="169">
        <v>1003.5999999999999</v>
      </c>
      <c r="D44" s="169"/>
    </row>
    <row r="45" spans="1:8" ht="13.8" x14ac:dyDescent="0.3">
      <c r="A45" s="284" t="s">
        <v>542</v>
      </c>
      <c r="B45" s="284" t="s">
        <v>356</v>
      </c>
      <c r="C45" s="169">
        <v>1170.4599999999998</v>
      </c>
      <c r="D45" s="169"/>
    </row>
    <row r="46" spans="1:8" ht="13.8" x14ac:dyDescent="0.3">
      <c r="A46" s="284" t="s">
        <v>541</v>
      </c>
      <c r="B46" s="284" t="s">
        <v>540</v>
      </c>
      <c r="C46" s="169"/>
      <c r="D46" s="169"/>
    </row>
    <row r="47" spans="1:8" ht="13.8" x14ac:dyDescent="0.3">
      <c r="A47" s="284" t="s">
        <v>607</v>
      </c>
      <c r="B47" s="284" t="s">
        <v>355</v>
      </c>
      <c r="C47" s="169">
        <v>2171.8000000000002</v>
      </c>
      <c r="D47" s="169"/>
    </row>
    <row r="48" spans="1:8" ht="13.8" x14ac:dyDescent="0.3">
      <c r="A48" s="284" t="s">
        <v>539</v>
      </c>
      <c r="B48" s="284" t="s">
        <v>354</v>
      </c>
      <c r="C48" s="169">
        <v>11964.409999999998</v>
      </c>
      <c r="D48" s="169"/>
    </row>
    <row r="49" spans="1:4" ht="13.8" x14ac:dyDescent="0.3">
      <c r="A49" s="284" t="s">
        <v>538</v>
      </c>
      <c r="B49" s="284" t="s">
        <v>353</v>
      </c>
      <c r="C49" s="169">
        <v>23492.059999999998</v>
      </c>
      <c r="D49" s="169"/>
    </row>
    <row r="50" spans="1:4" ht="13.8" x14ac:dyDescent="0.3">
      <c r="A50" s="284" t="s">
        <v>608</v>
      </c>
      <c r="B50" s="284" t="s">
        <v>352</v>
      </c>
      <c r="C50" s="169">
        <v>152.22999999999999</v>
      </c>
      <c r="D50" s="169"/>
    </row>
    <row r="51" spans="1:4" ht="13.8" x14ac:dyDescent="0.3">
      <c r="A51" s="284" t="s">
        <v>537</v>
      </c>
      <c r="B51" s="284" t="s">
        <v>351</v>
      </c>
      <c r="C51" s="169">
        <v>1012.4399999999998</v>
      </c>
      <c r="D51" s="169"/>
    </row>
    <row r="52" spans="1:4" ht="13.8" x14ac:dyDescent="0.3">
      <c r="A52" s="284" t="s">
        <v>536</v>
      </c>
      <c r="B52" s="284" t="s">
        <v>535</v>
      </c>
      <c r="C52" s="169"/>
      <c r="D52" s="169"/>
    </row>
    <row r="53" spans="1:4" ht="13.8" x14ac:dyDescent="0.3">
      <c r="A53" s="284" t="s">
        <v>534</v>
      </c>
      <c r="B53" s="284" t="s">
        <v>533</v>
      </c>
      <c r="C53" s="169"/>
      <c r="D53" s="169"/>
    </row>
    <row r="54" spans="1:4" ht="13.8" x14ac:dyDescent="0.3">
      <c r="A54" s="284" t="s">
        <v>532</v>
      </c>
      <c r="B54" s="284" t="s">
        <v>531</v>
      </c>
      <c r="C54" s="169"/>
      <c r="D54" s="169">
        <v>3699.9999999999995</v>
      </c>
    </row>
    <row r="55" spans="1:4" ht="13.8" x14ac:dyDescent="0.3">
      <c r="A55" s="284" t="s">
        <v>530</v>
      </c>
      <c r="B55" s="284" t="s">
        <v>13</v>
      </c>
      <c r="C55" s="169">
        <v>920</v>
      </c>
      <c r="D55" s="169"/>
    </row>
    <row r="56" spans="1:4" ht="13.8" x14ac:dyDescent="0.3">
      <c r="A56" s="284" t="s">
        <v>529</v>
      </c>
      <c r="B56" s="284" t="s">
        <v>350</v>
      </c>
      <c r="C56" s="169"/>
      <c r="D56" s="169">
        <v>313.49999999999989</v>
      </c>
    </row>
    <row r="57" spans="1:4" ht="13.8" x14ac:dyDescent="0.3">
      <c r="A57" s="284" t="s">
        <v>528</v>
      </c>
      <c r="B57" s="284" t="s">
        <v>349</v>
      </c>
      <c r="C57" s="169">
        <v>6020</v>
      </c>
      <c r="D57" s="169"/>
    </row>
    <row r="58" spans="1:4" ht="13.8" x14ac:dyDescent="0.3">
      <c r="A58" s="284" t="s">
        <v>527</v>
      </c>
      <c r="B58" s="284" t="s">
        <v>526</v>
      </c>
      <c r="C58" s="169"/>
      <c r="D58" s="169"/>
    </row>
    <row r="59" spans="1:4" ht="13.8" x14ac:dyDescent="0.3">
      <c r="A59" s="284" t="s">
        <v>525</v>
      </c>
      <c r="B59" s="284" t="s">
        <v>348</v>
      </c>
      <c r="C59" s="169">
        <v>2148.2800000000002</v>
      </c>
      <c r="D59" s="169"/>
    </row>
    <row r="60" spans="1:4" ht="13.8" x14ac:dyDescent="0.3">
      <c r="A60" s="284" t="s">
        <v>524</v>
      </c>
      <c r="B60" s="284" t="s">
        <v>523</v>
      </c>
      <c r="C60" s="169"/>
      <c r="D60" s="169"/>
    </row>
    <row r="61" spans="1:4" ht="13.8" x14ac:dyDescent="0.3">
      <c r="A61" s="284" t="s">
        <v>522</v>
      </c>
      <c r="B61" s="284" t="s">
        <v>347</v>
      </c>
      <c r="C61" s="169">
        <v>1246.25</v>
      </c>
      <c r="D61" s="169"/>
    </row>
    <row r="62" spans="1:4" ht="13.8" x14ac:dyDescent="0.3">
      <c r="A62" s="284" t="s">
        <v>521</v>
      </c>
      <c r="B62" s="284" t="s">
        <v>346</v>
      </c>
      <c r="C62" s="169">
        <v>12000</v>
      </c>
      <c r="D62" s="169"/>
    </row>
    <row r="63" spans="1:4" ht="13.8" x14ac:dyDescent="0.3">
      <c r="A63" s="284" t="s">
        <v>520</v>
      </c>
      <c r="B63" s="284" t="s">
        <v>345</v>
      </c>
      <c r="C63" s="169">
        <v>2496</v>
      </c>
      <c r="D63" s="169"/>
    </row>
    <row r="64" spans="1:4" ht="13.8" x14ac:dyDescent="0.3">
      <c r="A64" s="284" t="s">
        <v>519</v>
      </c>
      <c r="B64" s="284" t="s">
        <v>518</v>
      </c>
      <c r="C64" s="169"/>
      <c r="D64" s="169"/>
    </row>
    <row r="65" spans="1:4" ht="13.8" x14ac:dyDescent="0.3">
      <c r="A65" s="284" t="s">
        <v>517</v>
      </c>
      <c r="B65" s="284" t="s">
        <v>344</v>
      </c>
      <c r="C65" s="169">
        <v>3590</v>
      </c>
      <c r="D65" s="169"/>
    </row>
    <row r="66" spans="1:4" ht="13.8" x14ac:dyDescent="0.3">
      <c r="A66" s="284" t="s">
        <v>516</v>
      </c>
      <c r="B66" s="284" t="s">
        <v>343</v>
      </c>
      <c r="C66" s="169">
        <v>1994.5199999999995</v>
      </c>
      <c r="D66" s="169"/>
    </row>
    <row r="67" spans="1:4" ht="13.8" x14ac:dyDescent="0.3">
      <c r="A67" s="284" t="s">
        <v>515</v>
      </c>
      <c r="B67" s="284" t="s">
        <v>342</v>
      </c>
      <c r="C67" s="169">
        <v>90.009999999999934</v>
      </c>
      <c r="D67" s="169"/>
    </row>
    <row r="68" spans="1:4" ht="13.8" x14ac:dyDescent="0.3">
      <c r="A68" s="284" t="s">
        <v>609</v>
      </c>
      <c r="B68" s="284" t="s">
        <v>594</v>
      </c>
      <c r="C68" s="169"/>
      <c r="D68" s="169">
        <v>8.5265128291212022E-14</v>
      </c>
    </row>
    <row r="69" spans="1:4" ht="13.8" x14ac:dyDescent="0.3">
      <c r="A69" s="284" t="s">
        <v>514</v>
      </c>
      <c r="B69" s="284" t="s">
        <v>340</v>
      </c>
      <c r="C69" s="169">
        <v>822.42999999999984</v>
      </c>
      <c r="D69" s="169"/>
    </row>
    <row r="70" spans="1:4" ht="13.8" x14ac:dyDescent="0.3">
      <c r="A70" s="284" t="s">
        <v>513</v>
      </c>
      <c r="B70" s="284" t="s">
        <v>339</v>
      </c>
      <c r="C70" s="169">
        <v>2662.6300000000006</v>
      </c>
      <c r="D70" s="169"/>
    </row>
    <row r="71" spans="1:4" ht="13.8" x14ac:dyDescent="0.3">
      <c r="A71" s="284" t="s">
        <v>512</v>
      </c>
      <c r="B71" s="284" t="s">
        <v>511</v>
      </c>
      <c r="C71" s="169">
        <v>3293.29</v>
      </c>
      <c r="D71" s="169"/>
    </row>
    <row r="72" spans="1:4" ht="13.8" x14ac:dyDescent="0.3">
      <c r="A72" s="284" t="s">
        <v>510</v>
      </c>
      <c r="B72" s="284" t="s">
        <v>509</v>
      </c>
      <c r="C72" s="169">
        <v>399.60999999999996</v>
      </c>
      <c r="D72" s="169"/>
    </row>
    <row r="73" spans="1:4" ht="13.8" x14ac:dyDescent="0.3">
      <c r="A73" s="284" t="s">
        <v>508</v>
      </c>
      <c r="B73" s="284" t="s">
        <v>507</v>
      </c>
      <c r="C73" s="169">
        <v>827.2600000000001</v>
      </c>
      <c r="D73" s="169"/>
    </row>
    <row r="74" spans="1:4" ht="13.8" x14ac:dyDescent="0.3">
      <c r="A74" s="284" t="s">
        <v>506</v>
      </c>
      <c r="B74" s="284" t="s">
        <v>505</v>
      </c>
      <c r="C74" s="169"/>
      <c r="D74" s="169">
        <v>4.0100000000000025</v>
      </c>
    </row>
    <row r="75" spans="1:4" s="275" customFormat="1" ht="13.8" x14ac:dyDescent="0.3">
      <c r="A75" s="284" t="s">
        <v>504</v>
      </c>
      <c r="B75" s="284" t="s">
        <v>334</v>
      </c>
      <c r="C75" s="169">
        <v>210</v>
      </c>
      <c r="D75" s="169"/>
    </row>
    <row r="76" spans="1:4" ht="13.8" x14ac:dyDescent="0.3">
      <c r="A76" s="284" t="s">
        <v>610</v>
      </c>
      <c r="B76" s="284" t="s">
        <v>611</v>
      </c>
      <c r="C76" s="169">
        <v>149.69999999999999</v>
      </c>
      <c r="D76" s="169"/>
    </row>
    <row r="77" spans="1:4" ht="13.8" x14ac:dyDescent="0.3">
      <c r="A77" s="284" t="s">
        <v>503</v>
      </c>
      <c r="B77" s="284" t="s">
        <v>332</v>
      </c>
      <c r="C77" s="169">
        <v>75.330000000000041</v>
      </c>
      <c r="D77" s="169"/>
    </row>
    <row r="78" spans="1:4" ht="13.8" x14ac:dyDescent="0.3">
      <c r="A78" s="284" t="s">
        <v>502</v>
      </c>
      <c r="B78" s="284" t="s">
        <v>331</v>
      </c>
      <c r="C78" s="169">
        <v>1064.32</v>
      </c>
      <c r="D78" s="169"/>
    </row>
    <row r="79" spans="1:4" ht="13.8" x14ac:dyDescent="0.3">
      <c r="A79" s="284" t="s">
        <v>501</v>
      </c>
      <c r="B79" s="284" t="s">
        <v>500</v>
      </c>
      <c r="C79" s="169"/>
      <c r="D79" s="169"/>
    </row>
    <row r="80" spans="1:4" ht="13.8" x14ac:dyDescent="0.3">
      <c r="A80" s="284" t="s">
        <v>499</v>
      </c>
      <c r="B80" s="284" t="s">
        <v>498</v>
      </c>
      <c r="C80" s="169">
        <v>515.20000000000016</v>
      </c>
      <c r="D80" s="169"/>
    </row>
    <row r="81" spans="1:8" ht="13.8" x14ac:dyDescent="0.3">
      <c r="A81" s="284" t="s">
        <v>612</v>
      </c>
      <c r="B81" s="284" t="s">
        <v>329</v>
      </c>
      <c r="C81" s="169">
        <v>279.88</v>
      </c>
      <c r="D81" s="169"/>
    </row>
    <row r="82" spans="1:8" ht="13.8" x14ac:dyDescent="0.3">
      <c r="A82" s="284" t="s">
        <v>497</v>
      </c>
      <c r="B82" s="284" t="s">
        <v>496</v>
      </c>
      <c r="C82" s="169"/>
      <c r="D82" s="169"/>
    </row>
    <row r="83" spans="1:8" ht="13.8" x14ac:dyDescent="0.3">
      <c r="A83" s="284" t="s">
        <v>495</v>
      </c>
      <c r="B83" s="284" t="s">
        <v>494</v>
      </c>
      <c r="C83" s="169"/>
      <c r="D83" s="169"/>
    </row>
    <row r="84" spans="1:8" ht="13.8" x14ac:dyDescent="0.3">
      <c r="A84" s="284" t="s">
        <v>601</v>
      </c>
      <c r="B84" s="284" t="s">
        <v>328</v>
      </c>
      <c r="C84" s="169"/>
      <c r="D84" s="169">
        <v>1659</v>
      </c>
    </row>
    <row r="85" spans="1:8" ht="13.8" x14ac:dyDescent="0.3">
      <c r="A85" s="284" t="s">
        <v>613</v>
      </c>
      <c r="B85" s="284" t="s">
        <v>327</v>
      </c>
      <c r="C85" s="169">
        <v>16.72</v>
      </c>
      <c r="D85" s="169"/>
    </row>
    <row r="86" spans="1:8" ht="13.8" x14ac:dyDescent="0.3">
      <c r="A86" s="284" t="s">
        <v>493</v>
      </c>
      <c r="B86" s="284" t="s">
        <v>326</v>
      </c>
      <c r="C86" s="169">
        <v>73.72999999999999</v>
      </c>
      <c r="D86" s="169"/>
      <c r="F86" s="279"/>
      <c r="G86" s="279"/>
      <c r="H86" s="279"/>
    </row>
    <row r="87" spans="1:8" ht="13.8" x14ac:dyDescent="0.3">
      <c r="A87" s="284" t="s">
        <v>492</v>
      </c>
      <c r="B87" s="284" t="s">
        <v>325</v>
      </c>
      <c r="C87" s="169">
        <v>5325</v>
      </c>
      <c r="D87" s="169"/>
      <c r="G87" s="280"/>
      <c r="H87" s="280"/>
    </row>
    <row r="88" spans="1:8" ht="13.8" x14ac:dyDescent="0.3">
      <c r="A88" s="284" t="s">
        <v>491</v>
      </c>
      <c r="B88" s="284" t="s">
        <v>490</v>
      </c>
      <c r="C88" s="169"/>
      <c r="D88" s="169"/>
    </row>
    <row r="89" spans="1:8" ht="13.8" x14ac:dyDescent="0.3">
      <c r="A89" s="284" t="s">
        <v>489</v>
      </c>
      <c r="B89" s="284" t="s">
        <v>65</v>
      </c>
      <c r="C89" s="169">
        <v>9.9475983006414026E-14</v>
      </c>
      <c r="D89" s="169"/>
    </row>
    <row r="90" spans="1:8" ht="13.8" x14ac:dyDescent="0.3">
      <c r="A90" s="284" t="s">
        <v>614</v>
      </c>
      <c r="B90" s="284" t="s">
        <v>615</v>
      </c>
      <c r="C90" s="169"/>
      <c r="D90" s="169">
        <v>10000</v>
      </c>
    </row>
    <row r="91" spans="1:8" ht="13.8" x14ac:dyDescent="0.3">
      <c r="A91" s="284" t="s">
        <v>488</v>
      </c>
      <c r="B91" s="284" t="s">
        <v>324</v>
      </c>
      <c r="C91" s="169">
        <v>1366.130000000001</v>
      </c>
      <c r="D91" s="169"/>
    </row>
    <row r="92" spans="1:8" ht="13.8" x14ac:dyDescent="0.3">
      <c r="A92" s="284" t="s">
        <v>487</v>
      </c>
      <c r="B92" s="284" t="s">
        <v>323</v>
      </c>
      <c r="C92" s="169">
        <v>315</v>
      </c>
      <c r="D92" s="169"/>
    </row>
    <row r="93" spans="1:8" ht="13.8" x14ac:dyDescent="0.3">
      <c r="A93" s="284" t="s">
        <v>486</v>
      </c>
      <c r="B93" s="284" t="s">
        <v>322</v>
      </c>
      <c r="C93" s="169">
        <v>3993.4999999999995</v>
      </c>
      <c r="D93" s="169"/>
    </row>
    <row r="94" spans="1:8" ht="13.8" x14ac:dyDescent="0.3">
      <c r="A94" s="284" t="s">
        <v>485</v>
      </c>
      <c r="B94" s="284" t="s">
        <v>484</v>
      </c>
      <c r="C94" s="169">
        <v>643.29999999999995</v>
      </c>
      <c r="D94" s="169"/>
    </row>
    <row r="95" spans="1:8" ht="13.8" x14ac:dyDescent="0.3">
      <c r="A95" s="284" t="s">
        <v>483</v>
      </c>
      <c r="B95" s="284" t="s">
        <v>320</v>
      </c>
      <c r="C95" s="169">
        <v>8787.2200000000012</v>
      </c>
      <c r="D95" s="169"/>
    </row>
    <row r="96" spans="1:8" ht="13.8" thickBot="1" x14ac:dyDescent="0.3">
      <c r="C96" s="285">
        <f>SUM(D9:D95)</f>
        <v>440607.98000000021</v>
      </c>
      <c r="D96" s="285"/>
      <c r="E96" s="285">
        <f>SUM(C9:C95)</f>
        <v>440607.98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20108-C10F-464A-BD47-A3C3549B6477}">
  <dimension ref="A1:D84"/>
  <sheetViews>
    <sheetView topLeftCell="A16" workbookViewId="0">
      <selection activeCell="D31" sqref="D31"/>
    </sheetView>
  </sheetViews>
  <sheetFormatPr defaultColWidth="9.109375" defaultRowHeight="13.8" x14ac:dyDescent="0.3"/>
  <cols>
    <col min="1" max="1" width="6" style="192" bestFit="1" customWidth="1"/>
    <col min="2" max="2" width="39.77734375" style="192" bestFit="1" customWidth="1"/>
    <col min="3" max="4" width="11" style="170" bestFit="1" customWidth="1"/>
    <col min="5" max="16384" width="9.109375" style="192"/>
  </cols>
  <sheetData>
    <row r="1" spans="1:4" x14ac:dyDescent="0.3">
      <c r="A1" s="191" t="s">
        <v>399</v>
      </c>
      <c r="B1" s="191" t="s">
        <v>91</v>
      </c>
      <c r="C1" s="168" t="s">
        <v>398</v>
      </c>
      <c r="D1" s="168" t="s">
        <v>397</v>
      </c>
    </row>
    <row r="2" spans="1:4" x14ac:dyDescent="0.3">
      <c r="A2" s="193">
        <v>1010</v>
      </c>
      <c r="B2" s="193" t="s">
        <v>396</v>
      </c>
      <c r="C2" s="169">
        <v>7364.65</v>
      </c>
    </row>
    <row r="3" spans="1:4" x14ac:dyDescent="0.3">
      <c r="A3" s="193">
        <v>1015</v>
      </c>
      <c r="B3" s="193" t="s">
        <v>395</v>
      </c>
      <c r="D3" s="169">
        <v>1491.15</v>
      </c>
    </row>
    <row r="4" spans="1:4" x14ac:dyDescent="0.3">
      <c r="A4" s="193">
        <v>1020</v>
      </c>
      <c r="B4" s="193" t="s">
        <v>394</v>
      </c>
      <c r="C4" s="169">
        <v>1256.04</v>
      </c>
    </row>
    <row r="5" spans="1:4" x14ac:dyDescent="0.3">
      <c r="A5" s="193">
        <v>1025</v>
      </c>
      <c r="B5" s="193" t="s">
        <v>393</v>
      </c>
      <c r="D5" s="169">
        <v>915.58999999999992</v>
      </c>
    </row>
    <row r="6" spans="1:4" x14ac:dyDescent="0.3">
      <c r="A6" s="193">
        <v>1040</v>
      </c>
      <c r="B6" s="193" t="s">
        <v>392</v>
      </c>
      <c r="C6" s="169">
        <v>24472.44</v>
      </c>
    </row>
    <row r="7" spans="1:4" x14ac:dyDescent="0.3">
      <c r="A7" s="193">
        <v>1046</v>
      </c>
      <c r="B7" s="193" t="s">
        <v>391</v>
      </c>
      <c r="D7" s="169">
        <v>24472.44</v>
      </c>
    </row>
    <row r="8" spans="1:4" x14ac:dyDescent="0.3">
      <c r="A8" s="193">
        <v>1100</v>
      </c>
      <c r="B8" s="193" t="s">
        <v>390</v>
      </c>
      <c r="D8" s="169">
        <v>355.71</v>
      </c>
    </row>
    <row r="9" spans="1:4" x14ac:dyDescent="0.3">
      <c r="A9" s="193">
        <v>1102</v>
      </c>
      <c r="B9" s="193" t="s">
        <v>389</v>
      </c>
      <c r="C9" s="169">
        <v>1500.47</v>
      </c>
    </row>
    <row r="10" spans="1:4" x14ac:dyDescent="0.3">
      <c r="A10" s="193">
        <v>1103</v>
      </c>
      <c r="B10" s="193" t="s">
        <v>127</v>
      </c>
      <c r="C10" s="169">
        <v>2345.56</v>
      </c>
    </row>
    <row r="11" spans="1:4" x14ac:dyDescent="0.3">
      <c r="A11" s="193">
        <v>1106</v>
      </c>
      <c r="B11" s="193" t="s">
        <v>388</v>
      </c>
      <c r="C11" s="169">
        <v>11397.869999999999</v>
      </c>
    </row>
    <row r="12" spans="1:4" x14ac:dyDescent="0.3">
      <c r="A12" s="193">
        <v>1110</v>
      </c>
      <c r="B12" s="193" t="s">
        <v>387</v>
      </c>
      <c r="D12" s="169">
        <v>65.25</v>
      </c>
    </row>
    <row r="13" spans="1:4" x14ac:dyDescent="0.3">
      <c r="A13" s="193">
        <v>1200</v>
      </c>
      <c r="B13" s="193" t="s">
        <v>386</v>
      </c>
      <c r="C13" s="169">
        <v>9517.630000000001</v>
      </c>
    </row>
    <row r="14" spans="1:4" x14ac:dyDescent="0.3">
      <c r="A14" s="193">
        <v>1205</v>
      </c>
      <c r="B14" s="193" t="s">
        <v>133</v>
      </c>
      <c r="C14" s="169">
        <v>22568.79</v>
      </c>
    </row>
    <row r="15" spans="1:4" x14ac:dyDescent="0.3">
      <c r="A15" s="193">
        <v>1220</v>
      </c>
      <c r="B15" s="193" t="s">
        <v>385</v>
      </c>
      <c r="C15" s="169">
        <v>235059.87000000002</v>
      </c>
    </row>
    <row r="16" spans="1:4" x14ac:dyDescent="0.3">
      <c r="A16" s="193">
        <v>1900</v>
      </c>
      <c r="B16" s="193" t="s">
        <v>384</v>
      </c>
      <c r="D16" s="169">
        <v>1069.0899999999999</v>
      </c>
    </row>
    <row r="17" spans="1:4" x14ac:dyDescent="0.3">
      <c r="A17" s="193">
        <v>2100</v>
      </c>
      <c r="B17" s="193" t="s">
        <v>383</v>
      </c>
      <c r="D17" s="169">
        <v>14583.05</v>
      </c>
    </row>
    <row r="18" spans="1:4" x14ac:dyDescent="0.3">
      <c r="A18" s="193">
        <v>2102</v>
      </c>
      <c r="B18" s="193" t="s">
        <v>382</v>
      </c>
      <c r="D18" s="169">
        <v>3743.16</v>
      </c>
    </row>
    <row r="19" spans="1:4" x14ac:dyDescent="0.3">
      <c r="A19" s="193">
        <v>2109</v>
      </c>
      <c r="B19" s="193" t="s">
        <v>381</v>
      </c>
      <c r="D19" s="169">
        <v>200234.05</v>
      </c>
    </row>
    <row r="20" spans="1:4" x14ac:dyDescent="0.3">
      <c r="A20" s="193">
        <v>2110</v>
      </c>
      <c r="B20" s="193" t="s">
        <v>380</v>
      </c>
      <c r="D20" s="169">
        <v>2787.8</v>
      </c>
    </row>
    <row r="21" spans="1:4" x14ac:dyDescent="0.3">
      <c r="A21" s="193">
        <v>2112</v>
      </c>
      <c r="B21" s="193" t="s">
        <v>379</v>
      </c>
      <c r="D21" s="169">
        <v>395</v>
      </c>
    </row>
    <row r="22" spans="1:4" x14ac:dyDescent="0.3">
      <c r="A22" s="193">
        <v>2120</v>
      </c>
      <c r="B22" s="193" t="s">
        <v>378</v>
      </c>
      <c r="D22" s="169">
        <v>88.24</v>
      </c>
    </row>
    <row r="23" spans="1:4" x14ac:dyDescent="0.3">
      <c r="A23" s="193">
        <v>2130</v>
      </c>
      <c r="B23" s="193" t="s">
        <v>377</v>
      </c>
      <c r="D23" s="169">
        <v>4782.1000000000004</v>
      </c>
    </row>
    <row r="24" spans="1:4" x14ac:dyDescent="0.3">
      <c r="A24" s="193">
        <v>2201</v>
      </c>
      <c r="B24" s="193" t="s">
        <v>376</v>
      </c>
      <c r="D24" s="169">
        <v>10356.719999999999</v>
      </c>
    </row>
    <row r="25" spans="1:4" x14ac:dyDescent="0.3">
      <c r="A25" s="193">
        <v>2202</v>
      </c>
      <c r="B25" s="193" t="s">
        <v>375</v>
      </c>
      <c r="C25" s="169">
        <v>1381.94</v>
      </c>
    </row>
    <row r="26" spans="1:4" x14ac:dyDescent="0.3">
      <c r="A26" s="193">
        <v>2230</v>
      </c>
      <c r="B26" s="193" t="s">
        <v>374</v>
      </c>
      <c r="D26" s="169">
        <v>23229.32</v>
      </c>
    </row>
    <row r="27" spans="1:4" x14ac:dyDescent="0.3">
      <c r="A27" s="193">
        <v>3200</v>
      </c>
      <c r="B27" s="193" t="s">
        <v>373</v>
      </c>
      <c r="C27" s="169">
        <v>7373.24</v>
      </c>
    </row>
    <row r="28" spans="1:4" x14ac:dyDescent="0.3">
      <c r="A28" s="193">
        <v>3201</v>
      </c>
      <c r="B28" s="193" t="s">
        <v>372</v>
      </c>
      <c r="D28" s="169">
        <v>175</v>
      </c>
    </row>
    <row r="29" spans="1:4" x14ac:dyDescent="0.3">
      <c r="A29" s="193">
        <v>3208</v>
      </c>
      <c r="B29" s="193" t="s">
        <v>371</v>
      </c>
      <c r="D29" s="169">
        <v>29070.390000000003</v>
      </c>
    </row>
    <row r="30" spans="1:4" x14ac:dyDescent="0.3">
      <c r="A30" s="193">
        <v>3300</v>
      </c>
      <c r="B30" s="193" t="s">
        <v>370</v>
      </c>
      <c r="C30" s="169">
        <v>29070.720000000001</v>
      </c>
    </row>
    <row r="31" spans="1:4" x14ac:dyDescent="0.3">
      <c r="A31" s="193">
        <v>4000</v>
      </c>
      <c r="B31" s="193" t="s">
        <v>369</v>
      </c>
      <c r="D31" s="258">
        <v>14547.12</v>
      </c>
    </row>
    <row r="32" spans="1:4" x14ac:dyDescent="0.3">
      <c r="A32" s="193">
        <v>4002</v>
      </c>
      <c r="B32" s="193" t="s">
        <v>368</v>
      </c>
      <c r="D32" s="181">
        <v>5106.3099999999995</v>
      </c>
    </row>
    <row r="33" spans="1:4" x14ac:dyDescent="0.3">
      <c r="A33" s="193">
        <v>4003</v>
      </c>
      <c r="B33" s="193" t="s">
        <v>367</v>
      </c>
      <c r="D33" s="182">
        <v>23634.35</v>
      </c>
    </row>
    <row r="34" spans="1:4" x14ac:dyDescent="0.3">
      <c r="A34" s="193">
        <v>4005</v>
      </c>
      <c r="B34" s="193" t="s">
        <v>366</v>
      </c>
      <c r="D34" s="182">
        <v>13387.029999999999</v>
      </c>
    </row>
    <row r="35" spans="1:4" x14ac:dyDescent="0.3">
      <c r="A35" s="193">
        <v>4006</v>
      </c>
      <c r="B35" s="193" t="s">
        <v>365</v>
      </c>
      <c r="D35" s="182">
        <v>350.52</v>
      </c>
    </row>
    <row r="36" spans="1:4" x14ac:dyDescent="0.3">
      <c r="A36" s="193">
        <v>4010</v>
      </c>
      <c r="B36" s="193" t="s">
        <v>364</v>
      </c>
      <c r="D36" s="181">
        <v>194361.19</v>
      </c>
    </row>
    <row r="37" spans="1:4" x14ac:dyDescent="0.3">
      <c r="A37" s="193">
        <v>4030</v>
      </c>
      <c r="B37" s="193" t="s">
        <v>363</v>
      </c>
      <c r="D37" s="169">
        <v>88.31</v>
      </c>
    </row>
    <row r="38" spans="1:4" x14ac:dyDescent="0.3">
      <c r="A38" s="193">
        <v>4090</v>
      </c>
      <c r="B38" s="193" t="s">
        <v>362</v>
      </c>
      <c r="D38" s="169">
        <v>2579.3000000000002</v>
      </c>
    </row>
    <row r="39" spans="1:4" x14ac:dyDescent="0.3">
      <c r="A39" s="193">
        <v>4095</v>
      </c>
      <c r="B39" s="193" t="s">
        <v>361</v>
      </c>
      <c r="D39" s="169">
        <v>130</v>
      </c>
    </row>
    <row r="40" spans="1:4" x14ac:dyDescent="0.3">
      <c r="A40" s="193">
        <v>5001</v>
      </c>
      <c r="B40" s="193" t="s">
        <v>360</v>
      </c>
      <c r="C40" s="181">
        <v>55430.819999999992</v>
      </c>
    </row>
    <row r="41" spans="1:4" x14ac:dyDescent="0.3">
      <c r="A41" s="193">
        <v>50011</v>
      </c>
      <c r="B41" s="193" t="s">
        <v>359</v>
      </c>
      <c r="C41" s="181">
        <v>49138.12</v>
      </c>
    </row>
    <row r="42" spans="1:4" x14ac:dyDescent="0.3">
      <c r="A42" s="193">
        <v>5002</v>
      </c>
      <c r="B42" s="193" t="s">
        <v>358</v>
      </c>
      <c r="C42" s="181">
        <v>5224.83</v>
      </c>
    </row>
    <row r="43" spans="1:4" x14ac:dyDescent="0.3">
      <c r="A43" s="193">
        <v>50021</v>
      </c>
      <c r="B43" s="193" t="s">
        <v>357</v>
      </c>
      <c r="C43" s="181">
        <v>1003.6</v>
      </c>
    </row>
    <row r="44" spans="1:4" x14ac:dyDescent="0.3">
      <c r="A44" s="193">
        <v>5020</v>
      </c>
      <c r="B44" s="193" t="s">
        <v>356</v>
      </c>
      <c r="C44" s="181">
        <v>1170.46</v>
      </c>
    </row>
    <row r="45" spans="1:4" x14ac:dyDescent="0.3">
      <c r="A45" s="193">
        <v>5045</v>
      </c>
      <c r="B45" s="193" t="s">
        <v>355</v>
      </c>
      <c r="C45" s="181">
        <v>2171.8000000000002</v>
      </c>
    </row>
    <row r="46" spans="1:4" x14ac:dyDescent="0.3">
      <c r="A46" s="193">
        <v>6000</v>
      </c>
      <c r="B46" s="193" t="s">
        <v>354</v>
      </c>
      <c r="C46" s="181">
        <v>12219.48</v>
      </c>
    </row>
    <row r="47" spans="1:4" x14ac:dyDescent="0.3">
      <c r="A47" s="193">
        <v>6020</v>
      </c>
      <c r="B47" s="193" t="s">
        <v>353</v>
      </c>
      <c r="C47" s="181">
        <v>23562.06</v>
      </c>
    </row>
    <row r="48" spans="1:4" x14ac:dyDescent="0.3">
      <c r="A48" s="193">
        <v>6026</v>
      </c>
      <c r="B48" s="193" t="s">
        <v>352</v>
      </c>
      <c r="C48" s="181">
        <v>152.22999999999999</v>
      </c>
    </row>
    <row r="49" spans="1:3" x14ac:dyDescent="0.3">
      <c r="A49" s="193">
        <v>6027</v>
      </c>
      <c r="B49" s="193" t="s">
        <v>351</v>
      </c>
      <c r="C49" s="181">
        <v>1012.4399999999999</v>
      </c>
    </row>
    <row r="50" spans="1:3" x14ac:dyDescent="0.3">
      <c r="A50" s="193">
        <v>6040</v>
      </c>
      <c r="B50" s="193" t="s">
        <v>13</v>
      </c>
      <c r="C50" s="181">
        <v>920</v>
      </c>
    </row>
    <row r="51" spans="1:3" x14ac:dyDescent="0.3">
      <c r="A51" s="193">
        <v>6045</v>
      </c>
      <c r="B51" s="193" t="s">
        <v>350</v>
      </c>
      <c r="C51" s="181">
        <v>633.93999999999994</v>
      </c>
    </row>
    <row r="52" spans="1:3" x14ac:dyDescent="0.3">
      <c r="A52" s="193">
        <v>6060</v>
      </c>
      <c r="B52" s="193" t="s">
        <v>349</v>
      </c>
      <c r="C52" s="181">
        <v>6020</v>
      </c>
    </row>
    <row r="53" spans="1:3" x14ac:dyDescent="0.3">
      <c r="A53" s="193">
        <v>6130</v>
      </c>
      <c r="B53" s="193" t="s">
        <v>348</v>
      </c>
      <c r="C53" s="181">
        <v>2148.2799999999997</v>
      </c>
    </row>
    <row r="54" spans="1:3" x14ac:dyDescent="0.3">
      <c r="A54" s="193">
        <v>6147</v>
      </c>
      <c r="B54" s="193" t="s">
        <v>347</v>
      </c>
      <c r="C54" s="181">
        <v>1016.21</v>
      </c>
    </row>
    <row r="55" spans="1:3" x14ac:dyDescent="0.3">
      <c r="A55" s="193">
        <v>6160</v>
      </c>
      <c r="B55" s="193" t="s">
        <v>346</v>
      </c>
      <c r="C55" s="181">
        <v>12000</v>
      </c>
    </row>
    <row r="56" spans="1:3" x14ac:dyDescent="0.3">
      <c r="A56" s="193">
        <v>6175</v>
      </c>
      <c r="B56" s="193" t="s">
        <v>345</v>
      </c>
      <c r="C56" s="181">
        <v>2496</v>
      </c>
    </row>
    <row r="57" spans="1:3" x14ac:dyDescent="0.3">
      <c r="A57" s="193">
        <v>6190</v>
      </c>
      <c r="B57" s="193" t="s">
        <v>344</v>
      </c>
      <c r="C57" s="181">
        <v>3590</v>
      </c>
    </row>
    <row r="58" spans="1:3" x14ac:dyDescent="0.3">
      <c r="A58" s="193">
        <v>7000</v>
      </c>
      <c r="B58" s="193" t="s">
        <v>343</v>
      </c>
      <c r="C58" s="181">
        <v>1994.52</v>
      </c>
    </row>
    <row r="59" spans="1:3" x14ac:dyDescent="0.3">
      <c r="A59" s="193">
        <v>7001</v>
      </c>
      <c r="B59" s="193" t="s">
        <v>342</v>
      </c>
      <c r="C59" s="181">
        <v>90.01</v>
      </c>
    </row>
    <row r="60" spans="1:3" x14ac:dyDescent="0.3">
      <c r="A60" s="193">
        <v>7002</v>
      </c>
      <c r="B60" s="193" t="s">
        <v>341</v>
      </c>
      <c r="C60" s="181">
        <v>368.64</v>
      </c>
    </row>
    <row r="61" spans="1:3" x14ac:dyDescent="0.3">
      <c r="A61" s="193">
        <v>7005</v>
      </c>
      <c r="B61" s="193" t="s">
        <v>340</v>
      </c>
      <c r="C61" s="181">
        <v>822.43</v>
      </c>
    </row>
    <row r="62" spans="1:3" x14ac:dyDescent="0.3">
      <c r="A62" s="193">
        <v>7010</v>
      </c>
      <c r="B62" s="193" t="s">
        <v>339</v>
      </c>
      <c r="C62" s="181">
        <v>2662.63</v>
      </c>
    </row>
    <row r="63" spans="1:3" x14ac:dyDescent="0.3">
      <c r="A63" s="193">
        <v>7020</v>
      </c>
      <c r="B63" s="193" t="s">
        <v>338</v>
      </c>
      <c r="C63" s="181">
        <v>3293.29</v>
      </c>
    </row>
    <row r="64" spans="1:3" x14ac:dyDescent="0.3">
      <c r="A64" s="193">
        <v>7021</v>
      </c>
      <c r="B64" s="193" t="s">
        <v>337</v>
      </c>
      <c r="C64" s="181">
        <v>399.61</v>
      </c>
    </row>
    <row r="65" spans="1:3" x14ac:dyDescent="0.3">
      <c r="A65" s="193">
        <v>7022</v>
      </c>
      <c r="B65" s="193" t="s">
        <v>336</v>
      </c>
      <c r="C65" s="181">
        <v>1152.24</v>
      </c>
    </row>
    <row r="66" spans="1:3" x14ac:dyDescent="0.3">
      <c r="A66" s="193">
        <v>7030</v>
      </c>
      <c r="B66" s="193" t="s">
        <v>335</v>
      </c>
      <c r="C66" s="181">
        <v>0.94000000000000006</v>
      </c>
    </row>
    <row r="67" spans="1:3" x14ac:dyDescent="0.3">
      <c r="A67" s="193">
        <v>7031</v>
      </c>
      <c r="B67" s="193" t="s">
        <v>334</v>
      </c>
      <c r="C67" s="181">
        <v>210</v>
      </c>
    </row>
    <row r="68" spans="1:3" x14ac:dyDescent="0.3">
      <c r="A68" s="193">
        <v>7032</v>
      </c>
      <c r="B68" s="193" t="s">
        <v>333</v>
      </c>
      <c r="C68" s="181">
        <v>149.69999999999999</v>
      </c>
    </row>
    <row r="69" spans="1:3" x14ac:dyDescent="0.3">
      <c r="A69" s="193">
        <v>7040</v>
      </c>
      <c r="B69" s="193" t="s">
        <v>332</v>
      </c>
      <c r="C69" s="181">
        <v>75.33</v>
      </c>
    </row>
    <row r="70" spans="1:3" x14ac:dyDescent="0.3">
      <c r="A70" s="193">
        <v>7050</v>
      </c>
      <c r="B70" s="193" t="s">
        <v>331</v>
      </c>
      <c r="C70" s="181">
        <v>1231.75</v>
      </c>
    </row>
    <row r="71" spans="1:3" x14ac:dyDescent="0.3">
      <c r="A71" s="193">
        <v>7070</v>
      </c>
      <c r="B71" s="193" t="s">
        <v>330</v>
      </c>
      <c r="C71" s="181">
        <v>515.20000000000005</v>
      </c>
    </row>
    <row r="72" spans="1:3" x14ac:dyDescent="0.3">
      <c r="A72" s="193">
        <v>7080</v>
      </c>
      <c r="B72" s="193" t="s">
        <v>329</v>
      </c>
      <c r="C72" s="181">
        <v>279.88</v>
      </c>
    </row>
    <row r="73" spans="1:3" x14ac:dyDescent="0.3">
      <c r="A73" s="193">
        <v>8000</v>
      </c>
      <c r="B73" s="193" t="s">
        <v>328</v>
      </c>
      <c r="C73" s="181">
        <v>498.23999999999995</v>
      </c>
    </row>
    <row r="74" spans="1:3" x14ac:dyDescent="0.3">
      <c r="A74" s="193">
        <v>8005</v>
      </c>
      <c r="B74" s="193" t="s">
        <v>327</v>
      </c>
      <c r="C74" s="181">
        <v>16.72</v>
      </c>
    </row>
    <row r="75" spans="1:3" x14ac:dyDescent="0.3">
      <c r="A75" s="193">
        <v>8010</v>
      </c>
      <c r="B75" s="193" t="s">
        <v>326</v>
      </c>
      <c r="C75" s="181">
        <v>73.72999999999999</v>
      </c>
    </row>
    <row r="76" spans="1:3" x14ac:dyDescent="0.3">
      <c r="A76" s="193">
        <v>8040</v>
      </c>
      <c r="B76" s="193" t="s">
        <v>325</v>
      </c>
      <c r="C76" s="181">
        <v>5325</v>
      </c>
    </row>
    <row r="77" spans="1:3" x14ac:dyDescent="0.3">
      <c r="A77" s="193">
        <v>8057</v>
      </c>
      <c r="B77" s="193" t="s">
        <v>65</v>
      </c>
      <c r="C77" s="181">
        <v>618.36</v>
      </c>
    </row>
    <row r="78" spans="1:3" x14ac:dyDescent="0.3">
      <c r="A78" s="193">
        <v>9000</v>
      </c>
      <c r="B78" s="193" t="s">
        <v>324</v>
      </c>
      <c r="C78" s="181">
        <v>1366.1299999999999</v>
      </c>
    </row>
    <row r="79" spans="1:3" x14ac:dyDescent="0.3">
      <c r="A79" s="193">
        <v>9001</v>
      </c>
      <c r="B79" s="193" t="s">
        <v>323</v>
      </c>
      <c r="C79" s="181">
        <v>315</v>
      </c>
    </row>
    <row r="80" spans="1:3" x14ac:dyDescent="0.3">
      <c r="A80" s="193">
        <v>9006</v>
      </c>
      <c r="B80" s="193" t="s">
        <v>322</v>
      </c>
      <c r="C80" s="181">
        <v>3993.5</v>
      </c>
    </row>
    <row r="81" spans="1:4" x14ac:dyDescent="0.3">
      <c r="A81" s="193">
        <v>9013</v>
      </c>
      <c r="B81" s="193" t="s">
        <v>321</v>
      </c>
      <c r="C81" s="181">
        <v>643.29999999999995</v>
      </c>
    </row>
    <row r="82" spans="1:4" x14ac:dyDescent="0.3">
      <c r="A82" s="193">
        <v>9018</v>
      </c>
      <c r="B82" s="193" t="s">
        <v>320</v>
      </c>
      <c r="C82" s="181">
        <v>8907.2199999999993</v>
      </c>
    </row>
    <row r="83" spans="1:4" hidden="1" x14ac:dyDescent="0.3">
      <c r="A83" s="193">
        <v>9999</v>
      </c>
      <c r="B83" s="193" t="s">
        <v>319</v>
      </c>
      <c r="C83" s="169"/>
    </row>
    <row r="84" spans="1:4" x14ac:dyDescent="0.3">
      <c r="C84" s="170">
        <f>SUM(C2:C83)</f>
        <v>568222.86</v>
      </c>
      <c r="D84" s="170">
        <f>SUM(D2:D83)</f>
        <v>571998.19000000018</v>
      </c>
    </row>
  </sheetData>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12B360-B0FD-464D-9453-F5FE6E5CCCBD}">
  <sheetPr>
    <tabColor rgb="FFFFFF00"/>
  </sheetPr>
  <dimension ref="A1:Z33"/>
  <sheetViews>
    <sheetView zoomScaleNormal="100" zoomScaleSheetLayoutView="90" zoomScalePageLayoutView="60" workbookViewId="0">
      <selection activeCell="Q6" sqref="Q6"/>
    </sheetView>
  </sheetViews>
  <sheetFormatPr defaultColWidth="9.109375" defaultRowHeight="13.8" outlineLevelCol="1" x14ac:dyDescent="0.3"/>
  <cols>
    <col min="1" max="1" width="16.109375" style="5" customWidth="1"/>
    <col min="2" max="2" width="21.33203125" style="5" customWidth="1"/>
    <col min="3" max="3" width="19.6640625" style="5" customWidth="1" outlineLevel="1"/>
    <col min="4" max="4" width="9.77734375" style="5" customWidth="1" outlineLevel="1"/>
    <col min="5" max="5" width="10.33203125" style="5" customWidth="1" outlineLevel="1"/>
    <col min="6" max="6" width="10.44140625" style="5" customWidth="1" outlineLevel="1"/>
    <col min="7" max="7" width="11.5546875" style="5" customWidth="1" outlineLevel="1"/>
    <col min="8" max="8" width="9.6640625" style="5" customWidth="1" outlineLevel="1"/>
    <col min="9" max="9" width="13.6640625" style="5" customWidth="1" outlineLevel="1"/>
    <col min="10" max="10" width="11.88671875" style="5" customWidth="1" outlineLevel="1"/>
    <col min="11" max="11" width="9.6640625" style="5" customWidth="1" outlineLevel="1"/>
    <col min="12" max="12" width="37.33203125" style="5" bestFit="1" customWidth="1" outlineLevel="1"/>
    <col min="13" max="13" width="14" style="5" customWidth="1" outlineLevel="1"/>
    <col min="14" max="14" width="14.77734375" style="5" bestFit="1" customWidth="1" outlineLevel="1"/>
    <col min="15" max="15" width="17" style="5" bestFit="1" customWidth="1"/>
    <col min="16" max="16" width="14.6640625" style="5" bestFit="1" customWidth="1"/>
    <col min="17" max="17" width="17.6640625" style="5" customWidth="1"/>
    <col min="18" max="18" width="12.33203125" style="5" customWidth="1"/>
    <col min="19" max="19" width="14.44140625" style="5" bestFit="1" customWidth="1"/>
    <col min="20" max="20" width="14.44140625" style="5" customWidth="1"/>
    <col min="21" max="21" width="16.6640625" style="5" bestFit="1" customWidth="1"/>
    <col min="22" max="22" width="18.5546875" style="5" bestFit="1" customWidth="1" collapsed="1"/>
    <col min="23" max="23" width="11.88671875" style="5" bestFit="1" customWidth="1"/>
    <col min="24" max="24" width="13.21875" style="5" customWidth="1"/>
    <col min="25" max="25" width="15.88671875" style="5" bestFit="1" customWidth="1" collapsed="1"/>
    <col min="26" max="26" width="20.6640625" style="5" bestFit="1" customWidth="1"/>
    <col min="27" max="16384" width="9.109375" style="5"/>
  </cols>
  <sheetData>
    <row r="1" spans="1:26" s="7" customFormat="1" ht="69" x14ac:dyDescent="0.3">
      <c r="A1" s="223" t="s">
        <v>91</v>
      </c>
      <c r="B1" s="223" t="s">
        <v>92</v>
      </c>
      <c r="C1" s="223" t="s">
        <v>93</v>
      </c>
      <c r="D1" s="223" t="s">
        <v>94</v>
      </c>
      <c r="E1" s="223" t="s">
        <v>95</v>
      </c>
      <c r="F1" s="223" t="s">
        <v>96</v>
      </c>
      <c r="G1" s="223" t="s">
        <v>97</v>
      </c>
      <c r="H1" s="223" t="s">
        <v>98</v>
      </c>
      <c r="I1" s="223" t="s">
        <v>99</v>
      </c>
      <c r="J1" s="223" t="s">
        <v>100</v>
      </c>
      <c r="K1" s="6" t="s">
        <v>101</v>
      </c>
      <c r="L1" s="6" t="s">
        <v>102</v>
      </c>
      <c r="M1" s="6" t="s">
        <v>103</v>
      </c>
      <c r="N1" s="6" t="s">
        <v>104</v>
      </c>
      <c r="O1" s="6" t="s">
        <v>105</v>
      </c>
      <c r="P1" s="6" t="s">
        <v>106</v>
      </c>
      <c r="Q1" s="6" t="s">
        <v>107</v>
      </c>
      <c r="R1" s="6" t="s">
        <v>677</v>
      </c>
      <c r="S1" s="6" t="s">
        <v>108</v>
      </c>
      <c r="T1" s="6" t="s">
        <v>109</v>
      </c>
      <c r="U1" s="6" t="s">
        <v>217</v>
      </c>
      <c r="V1" s="6" t="s">
        <v>218</v>
      </c>
      <c r="W1" s="6" t="s">
        <v>467</v>
      </c>
      <c r="X1" s="6" t="s">
        <v>110</v>
      </c>
      <c r="Y1" s="6" t="s">
        <v>461</v>
      </c>
    </row>
    <row r="2" spans="1:26" x14ac:dyDescent="0.3">
      <c r="A2" s="190" t="s">
        <v>457</v>
      </c>
      <c r="B2" s="190" t="s">
        <v>111</v>
      </c>
      <c r="C2" s="190" t="s">
        <v>466</v>
      </c>
      <c r="D2" s="9">
        <v>0.375</v>
      </c>
      <c r="E2" s="9">
        <v>0.72916666666666663</v>
      </c>
      <c r="F2" s="190">
        <f>(E2-D2)*1440/(60)</f>
        <v>8.4999999999999982</v>
      </c>
      <c r="G2" s="190">
        <v>1</v>
      </c>
      <c r="H2" s="190">
        <f t="shared" ref="H2:H5" si="0">F2-G2</f>
        <v>7.4999999999999982</v>
      </c>
      <c r="I2" s="190">
        <f>H2*5</f>
        <v>37.499999999999993</v>
      </c>
      <c r="J2" s="27">
        <f>I2*52/12</f>
        <v>162.49999999999997</v>
      </c>
      <c r="K2" s="11">
        <f>ROUND(R2/52/I2,4)</f>
        <v>21.476800000000001</v>
      </c>
      <c r="L2" s="10">
        <f t="shared" ref="L2:L5" si="1">K2*1.5</f>
        <v>32.215200000000003</v>
      </c>
      <c r="M2" s="10">
        <f t="shared" ref="M2:M5" si="2">K2*2</f>
        <v>42.953600000000002</v>
      </c>
      <c r="N2" s="12">
        <f>R2/52</f>
        <v>805.37964230769239</v>
      </c>
      <c r="O2" s="13">
        <f>ROUND(R2/12,2)</f>
        <v>3489.98</v>
      </c>
      <c r="P2" s="14">
        <f t="shared" ref="P2:Q5" si="3">S2/12</f>
        <v>104.69935350000002</v>
      </c>
      <c r="Q2" s="14">
        <f t="shared" si="3"/>
        <v>174.49892250000005</v>
      </c>
      <c r="R2" s="15">
        <f>39509.19*1.06</f>
        <v>41879.741400000006</v>
      </c>
      <c r="S2" s="15">
        <f>$R2*3%</f>
        <v>1256.3922420000001</v>
      </c>
      <c r="T2" s="15">
        <f>$R2*5%</f>
        <v>2093.9870700000006</v>
      </c>
      <c r="U2" s="15">
        <f>Y2*(H2*K2)*0.6</f>
        <v>1932.9119999999996</v>
      </c>
      <c r="V2" s="15">
        <f>(R2-$W413)*13.25%</f>
        <v>5549.0657355000012</v>
      </c>
      <c r="W2" s="15">
        <v>0</v>
      </c>
      <c r="X2" s="16">
        <f>R2+S2+U2+V2+W2</f>
        <v>50618.111377500005</v>
      </c>
      <c r="Y2" s="190">
        <v>20</v>
      </c>
    </row>
    <row r="3" spans="1:26" x14ac:dyDescent="0.3">
      <c r="A3" s="190" t="s">
        <v>455</v>
      </c>
      <c r="B3" s="17" t="s">
        <v>112</v>
      </c>
      <c r="C3" s="190" t="s">
        <v>464</v>
      </c>
      <c r="D3" s="9">
        <v>0.375</v>
      </c>
      <c r="E3" s="9">
        <v>0.70833333333333337</v>
      </c>
      <c r="F3" s="190">
        <f>(E3-D3)*1440/(60)</f>
        <v>8.0000000000000018</v>
      </c>
      <c r="G3" s="190">
        <v>1</v>
      </c>
      <c r="H3" s="190">
        <f>F3-G3</f>
        <v>7.0000000000000018</v>
      </c>
      <c r="I3" s="190">
        <f>H3*2</f>
        <v>14.000000000000004</v>
      </c>
      <c r="J3" s="27">
        <f>I3*52/12</f>
        <v>60.666666666666686</v>
      </c>
      <c r="K3" s="11">
        <f>ROUND(R3/52/I3,4)</f>
        <v>17.4725</v>
      </c>
      <c r="L3" s="10">
        <f>K3*1.5</f>
        <v>26.208750000000002</v>
      </c>
      <c r="M3" s="10">
        <f>K3*2</f>
        <v>34.945</v>
      </c>
      <c r="N3" s="12">
        <f>R3/52</f>
        <v>244.61538461538461</v>
      </c>
      <c r="O3" s="13">
        <f>ROUND(R3/12,2)</f>
        <v>1060</v>
      </c>
      <c r="P3" s="14">
        <f t="shared" si="3"/>
        <v>31.799999999999997</v>
      </c>
      <c r="Q3" s="14">
        <f t="shared" si="3"/>
        <v>53</v>
      </c>
      <c r="R3" s="15">
        <f>12000*1.06</f>
        <v>12720</v>
      </c>
      <c r="S3" s="15">
        <f>$R3*3%</f>
        <v>381.59999999999997</v>
      </c>
      <c r="T3" s="15">
        <f>$R3*5%</f>
        <v>636</v>
      </c>
      <c r="U3" s="15">
        <f>Y3*(H3*K3)*0.6</f>
        <v>587.07600000000014</v>
      </c>
      <c r="V3" s="15">
        <f>(R3-$W415)*13.25%</f>
        <v>1685.4</v>
      </c>
      <c r="W3" s="15">
        <v>0</v>
      </c>
      <c r="X3" s="16">
        <f>R3+S3+U3+V3+W3</f>
        <v>15374.076000000001</v>
      </c>
      <c r="Y3" s="190">
        <f>20/5*2</f>
        <v>8</v>
      </c>
    </row>
    <row r="4" spans="1:26" x14ac:dyDescent="0.3">
      <c r="A4" s="190" t="s">
        <v>456</v>
      </c>
      <c r="B4" s="17" t="s">
        <v>230</v>
      </c>
      <c r="C4" s="190" t="s">
        <v>465</v>
      </c>
      <c r="D4" s="9">
        <v>0.39583333333333331</v>
      </c>
      <c r="E4" s="9">
        <v>0.72916666666666663</v>
      </c>
      <c r="F4" s="190">
        <f>(E4-D4)*1440/(60)</f>
        <v>8</v>
      </c>
      <c r="G4" s="190">
        <v>1</v>
      </c>
      <c r="H4" s="190">
        <f t="shared" si="0"/>
        <v>7</v>
      </c>
      <c r="I4" s="190">
        <f>H4*3</f>
        <v>21</v>
      </c>
      <c r="J4" s="27">
        <f>I4*52/12</f>
        <v>91</v>
      </c>
      <c r="K4" s="11">
        <f>ROUND(R4/52/I4,4)</f>
        <v>13.978</v>
      </c>
      <c r="L4" s="10">
        <f t="shared" si="1"/>
        <v>20.966999999999999</v>
      </c>
      <c r="M4" s="10">
        <f t="shared" si="2"/>
        <v>27.956</v>
      </c>
      <c r="N4" s="12">
        <f>R4/52</f>
        <v>293.53846153846155</v>
      </c>
      <c r="O4" s="13">
        <f>ROUND(R4/12,2)</f>
        <v>1272</v>
      </c>
      <c r="P4" s="14">
        <f t="shared" si="3"/>
        <v>38.159999999999997</v>
      </c>
      <c r="Q4" s="14">
        <f t="shared" si="3"/>
        <v>63.6</v>
      </c>
      <c r="R4" s="15">
        <f>14400*1.06</f>
        <v>15264</v>
      </c>
      <c r="S4" s="15">
        <f>$R4*3%</f>
        <v>457.91999999999996</v>
      </c>
      <c r="T4" s="15">
        <f t="shared" ref="T4:T5" si="4">$R4*5%</f>
        <v>763.2</v>
      </c>
      <c r="U4" s="15">
        <f>Y4*(H4*K4)*0.6</f>
        <v>704.49120000000005</v>
      </c>
      <c r="V4" s="15">
        <f>(R4-$W414)*13.25%</f>
        <v>2022.48</v>
      </c>
      <c r="W4" s="15">
        <v>0</v>
      </c>
      <c r="X4" s="16">
        <f>R4+S4+U4+V4+W4</f>
        <v>18448.891199999998</v>
      </c>
      <c r="Y4" s="190">
        <f>20/5*3</f>
        <v>12</v>
      </c>
    </row>
    <row r="5" spans="1:26" x14ac:dyDescent="0.3">
      <c r="A5" s="190"/>
      <c r="B5" s="190"/>
      <c r="C5" s="190"/>
      <c r="D5" s="9"/>
      <c r="E5" s="9"/>
      <c r="F5" s="190"/>
      <c r="G5" s="190"/>
      <c r="H5" s="190"/>
      <c r="I5" s="190"/>
      <c r="J5" s="27"/>
      <c r="K5" s="11"/>
      <c r="L5" s="10"/>
      <c r="M5" s="10"/>
      <c r="N5" s="12"/>
      <c r="O5" s="13"/>
      <c r="P5" s="14"/>
      <c r="Q5" s="14"/>
      <c r="R5" s="15"/>
      <c r="S5" s="15"/>
      <c r="T5" s="15"/>
      <c r="U5" s="15"/>
      <c r="V5" s="15"/>
      <c r="W5" s="15"/>
      <c r="X5" s="16"/>
      <c r="Y5" s="190"/>
    </row>
    <row r="7" spans="1:26" x14ac:dyDescent="0.3">
      <c r="A7" s="18"/>
      <c r="B7" s="18"/>
      <c r="F7" s="19"/>
      <c r="G7" s="19"/>
      <c r="H7" s="19"/>
      <c r="K7" s="20"/>
      <c r="L7" s="8"/>
      <c r="M7" s="8"/>
      <c r="N7" s="21"/>
      <c r="O7" s="20"/>
      <c r="P7" s="20"/>
      <c r="Q7" s="20"/>
      <c r="R7" s="15">
        <f t="shared" ref="R7:X7" si="5">SUM(R2:R5)</f>
        <v>69863.741399999999</v>
      </c>
      <c r="S7" s="15">
        <f t="shared" si="5"/>
        <v>2095.9122419999999</v>
      </c>
      <c r="T7" s="15">
        <f t="shared" si="5"/>
        <v>3493.1870700000009</v>
      </c>
      <c r="U7" s="15">
        <f t="shared" si="5"/>
        <v>3224.4791999999998</v>
      </c>
      <c r="V7" s="15">
        <f t="shared" si="5"/>
        <v>9256.9457355000013</v>
      </c>
      <c r="W7" s="15">
        <f t="shared" si="5"/>
        <v>0</v>
      </c>
      <c r="X7" s="16">
        <f t="shared" si="5"/>
        <v>84441.078577499997</v>
      </c>
      <c r="Y7" s="20"/>
    </row>
    <row r="8" spans="1:26" ht="14.4" thickBot="1" x14ac:dyDescent="0.35">
      <c r="H8" s="22"/>
      <c r="Q8" s="25"/>
    </row>
    <row r="9" spans="1:26" x14ac:dyDescent="0.3">
      <c r="A9" s="5" t="s">
        <v>114</v>
      </c>
      <c r="L9" s="5" t="s">
        <v>239</v>
      </c>
      <c r="R9" s="408" t="s">
        <v>30</v>
      </c>
      <c r="S9" s="409"/>
      <c r="T9" s="409"/>
      <c r="U9" s="221" t="s">
        <v>1</v>
      </c>
      <c r="V9" s="221">
        <v>2024</v>
      </c>
      <c r="W9" s="221">
        <v>2023</v>
      </c>
      <c r="X9" s="222" t="s">
        <v>267</v>
      </c>
    </row>
    <row r="10" spans="1:26" x14ac:dyDescent="0.3">
      <c r="A10" s="24" t="s">
        <v>459</v>
      </c>
      <c r="L10" s="226" t="s">
        <v>113</v>
      </c>
      <c r="M10" s="226" t="s">
        <v>220</v>
      </c>
      <c r="N10" s="226" t="s">
        <v>221</v>
      </c>
      <c r="O10" s="226" t="s">
        <v>222</v>
      </c>
      <c r="P10" s="226" t="s">
        <v>223</v>
      </c>
      <c r="R10" s="404" t="s">
        <v>31</v>
      </c>
      <c r="S10" s="405"/>
      <c r="T10" s="405"/>
      <c r="U10" s="190">
        <v>5001</v>
      </c>
      <c r="V10" s="26">
        <f>SUM(R2:R4)</f>
        <v>69863.741399999999</v>
      </c>
      <c r="W10" s="27">
        <f>Payroll23!V10</f>
        <v>65909.19</v>
      </c>
      <c r="X10" s="28">
        <f>V10-W10</f>
        <v>3954.5513999999966</v>
      </c>
    </row>
    <row r="11" spans="1:26" x14ac:dyDescent="0.3">
      <c r="A11" s="24" t="s">
        <v>115</v>
      </c>
      <c r="L11" s="190" t="s">
        <v>225</v>
      </c>
      <c r="M11" s="29">
        <v>35</v>
      </c>
      <c r="N11" s="190">
        <f>M11*52</f>
        <v>1820</v>
      </c>
      <c r="O11" s="219">
        <v>12</v>
      </c>
      <c r="P11" s="219">
        <f>N11*O11</f>
        <v>21840</v>
      </c>
      <c r="R11" s="404" t="s">
        <v>444</v>
      </c>
      <c r="S11" s="405"/>
      <c r="T11" s="405"/>
      <c r="U11" s="190">
        <v>50011</v>
      </c>
      <c r="V11" s="26">
        <f>SUM(R5:R5)*0</f>
        <v>0</v>
      </c>
      <c r="W11" s="27">
        <f>Payroll23!V11</f>
        <v>10920</v>
      </c>
      <c r="X11" s="28">
        <f t="shared" ref="X11:X17" si="6">V11-W11</f>
        <v>-10920</v>
      </c>
    </row>
    <row r="12" spans="1:26" x14ac:dyDescent="0.3">
      <c r="A12" s="24" t="s">
        <v>215</v>
      </c>
      <c r="L12" s="190" t="s">
        <v>219</v>
      </c>
      <c r="M12" s="29">
        <v>35</v>
      </c>
      <c r="N12" s="190">
        <f>M12*52</f>
        <v>1820</v>
      </c>
      <c r="O12" s="219">
        <v>12</v>
      </c>
      <c r="P12" s="219">
        <f t="shared" ref="P12:P15" si="7">N12*O12</f>
        <v>21840</v>
      </c>
      <c r="R12" s="404" t="s">
        <v>32</v>
      </c>
      <c r="S12" s="405"/>
      <c r="T12" s="405"/>
      <c r="U12" s="190">
        <v>5002</v>
      </c>
      <c r="V12" s="26">
        <f>SUM(V2:V4)-484.48</f>
        <v>8772.4657355000018</v>
      </c>
      <c r="W12" s="27">
        <f>Payroll23!V12</f>
        <v>8732.9676749999999</v>
      </c>
      <c r="X12" s="28">
        <f t="shared" si="6"/>
        <v>39.498060500001884</v>
      </c>
      <c r="Y12" s="25"/>
    </row>
    <row r="13" spans="1:26" x14ac:dyDescent="0.3">
      <c r="A13" s="24"/>
      <c r="L13" s="190" t="s">
        <v>661</v>
      </c>
      <c r="M13" s="29">
        <v>3.5</v>
      </c>
      <c r="N13" s="190">
        <f t="shared" ref="N13:N14" si="8">M13*52</f>
        <v>182</v>
      </c>
      <c r="O13" s="219">
        <v>12</v>
      </c>
      <c r="P13" s="219">
        <f t="shared" si="7"/>
        <v>2184</v>
      </c>
      <c r="R13" s="404" t="s">
        <v>660</v>
      </c>
      <c r="S13" s="405"/>
      <c r="T13" s="405"/>
      <c r="U13" s="190">
        <v>50021</v>
      </c>
      <c r="V13" s="26">
        <f>SUM(V5:V5)*0</f>
        <v>0</v>
      </c>
      <c r="W13" s="27">
        <f>Payroll23!V13</f>
        <v>1446.9</v>
      </c>
      <c r="X13" s="28">
        <f t="shared" si="6"/>
        <v>-1446.9</v>
      </c>
      <c r="Z13" s="23"/>
    </row>
    <row r="14" spans="1:26" s="7" customFormat="1" x14ac:dyDescent="0.3">
      <c r="A14" s="218"/>
      <c r="L14" s="190" t="s">
        <v>662</v>
      </c>
      <c r="M14" s="29">
        <v>3.5</v>
      </c>
      <c r="N14" s="190">
        <f t="shared" si="8"/>
        <v>182</v>
      </c>
      <c r="O14" s="219">
        <v>12</v>
      </c>
      <c r="P14" s="219">
        <f t="shared" si="7"/>
        <v>2184</v>
      </c>
      <c r="R14" s="404" t="s">
        <v>446</v>
      </c>
      <c r="S14" s="405"/>
      <c r="T14" s="405"/>
      <c r="U14" s="190">
        <v>5003</v>
      </c>
      <c r="V14" s="26">
        <f>SUM(S5:S5)</f>
        <v>0</v>
      </c>
      <c r="W14" s="27">
        <f>Payroll23!V14</f>
        <v>0</v>
      </c>
      <c r="X14" s="28">
        <f t="shared" si="6"/>
        <v>0</v>
      </c>
      <c r="Y14" s="5"/>
    </row>
    <row r="15" spans="1:26" x14ac:dyDescent="0.3">
      <c r="A15" s="24"/>
      <c r="L15" s="190" t="s">
        <v>665</v>
      </c>
      <c r="M15" s="29">
        <v>8</v>
      </c>
      <c r="N15" s="190">
        <f>M15*8</f>
        <v>64</v>
      </c>
      <c r="O15" s="219">
        <v>4</v>
      </c>
      <c r="P15" s="219">
        <f t="shared" si="7"/>
        <v>256</v>
      </c>
      <c r="R15" s="404" t="s">
        <v>33</v>
      </c>
      <c r="S15" s="405"/>
      <c r="T15" s="405"/>
      <c r="U15" s="190">
        <v>5020</v>
      </c>
      <c r="V15" s="26">
        <f>SUM(S2:S4)</f>
        <v>2095.9122419999999</v>
      </c>
      <c r="W15" s="27">
        <f>Payroll23!V15</f>
        <v>1977.2756999999999</v>
      </c>
      <c r="X15" s="28">
        <f t="shared" si="6"/>
        <v>118.63654199999996</v>
      </c>
    </row>
    <row r="16" spans="1:26" x14ac:dyDescent="0.3">
      <c r="A16" s="24"/>
      <c r="L16" s="190" t="s">
        <v>676</v>
      </c>
      <c r="M16" s="29"/>
      <c r="N16" s="190"/>
      <c r="O16" s="219"/>
      <c r="P16" s="219">
        <f>SUM(P11:P15)*0%</f>
        <v>0</v>
      </c>
      <c r="R16" s="404" t="s">
        <v>447</v>
      </c>
      <c r="S16" s="405"/>
      <c r="T16" s="405"/>
      <c r="U16" s="190">
        <v>5042</v>
      </c>
      <c r="V16" s="26">
        <v>1000</v>
      </c>
      <c r="W16" s="27">
        <f>Payroll23!V16</f>
        <v>3041.9593199999995</v>
      </c>
      <c r="X16" s="28">
        <f t="shared" si="6"/>
        <v>-2041.9593199999995</v>
      </c>
    </row>
    <row r="17" spans="12:26" x14ac:dyDescent="0.3">
      <c r="L17" s="224" t="s">
        <v>462</v>
      </c>
      <c r="M17" s="224"/>
      <c r="N17" s="224">
        <f>SUM(N11:N15)</f>
        <v>4068</v>
      </c>
      <c r="O17" s="225"/>
      <c r="P17" s="225">
        <f>SUM(P11:P16)</f>
        <v>48304</v>
      </c>
      <c r="R17" s="404" t="s">
        <v>448</v>
      </c>
      <c r="S17" s="405"/>
      <c r="T17" s="405"/>
      <c r="U17" s="190">
        <v>5043</v>
      </c>
      <c r="V17" s="26">
        <f>SUM(U5:U5)*0</f>
        <v>0</v>
      </c>
      <c r="W17" s="27">
        <f>Payroll23!V17</f>
        <v>504.00000000000011</v>
      </c>
      <c r="X17" s="28">
        <f t="shared" si="6"/>
        <v>-504.00000000000011</v>
      </c>
    </row>
    <row r="18" spans="12:26" ht="14.4" thickBot="1" x14ac:dyDescent="0.35">
      <c r="R18" s="406"/>
      <c r="S18" s="407"/>
      <c r="T18" s="407"/>
      <c r="U18" s="227"/>
      <c r="V18" s="228">
        <f>SUM(V10:V17)</f>
        <v>81732.119377500014</v>
      </c>
      <c r="W18" s="228">
        <f>SUM(W10:W17)</f>
        <v>92532.292694999982</v>
      </c>
      <c r="X18" s="228">
        <f>SUM(X10:X17)</f>
        <v>-10800.173317500001</v>
      </c>
    </row>
    <row r="19" spans="12:26" x14ac:dyDescent="0.3">
      <c r="V19" s="25">
        <f>R7+S7+U7+V7</f>
        <v>84441.078577500011</v>
      </c>
    </row>
    <row r="20" spans="12:26" x14ac:dyDescent="0.3">
      <c r="V20" s="25">
        <f>V18-V19</f>
        <v>-2708.9591999999975</v>
      </c>
    </row>
    <row r="23" spans="12:26" s="24" customFormat="1" x14ac:dyDescent="0.3"/>
    <row r="31" spans="12:26" x14ac:dyDescent="0.3">
      <c r="Z31" s="55"/>
    </row>
    <row r="32" spans="12:26" x14ac:dyDescent="0.3">
      <c r="Z32" s="55"/>
    </row>
    <row r="33" spans="26:26" x14ac:dyDescent="0.3">
      <c r="Z33" s="55"/>
    </row>
  </sheetData>
  <autoFilter ref="A1:V7" xr:uid="{00000000-0009-0000-0000-000000000000}"/>
  <mergeCells count="10">
    <mergeCell ref="R15:T15"/>
    <mergeCell ref="R16:T16"/>
    <mergeCell ref="R17:T17"/>
    <mergeCell ref="R18:T18"/>
    <mergeCell ref="R9:T9"/>
    <mergeCell ref="R10:T10"/>
    <mergeCell ref="R11:T11"/>
    <mergeCell ref="R12:T12"/>
    <mergeCell ref="R13:T13"/>
    <mergeCell ref="R14:T14"/>
  </mergeCells>
  <printOptions horizontalCentered="1" gridLines="1"/>
  <pageMargins left="0.31496062992125984" right="0.31496062992125984" top="0.94488188976377963" bottom="0.15748031496062992" header="0.31496062992125984" footer="0.11811023622047245"/>
  <pageSetup paperSize="9" scale="90" orientation="portrait" blackAndWhite="1"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39FFD-053F-4A9A-B437-217392654555}">
  <sheetPr>
    <tabColor rgb="FFFFFF00"/>
  </sheetPr>
  <dimension ref="A1:Z33"/>
  <sheetViews>
    <sheetView topLeftCell="I1" zoomScale="90" zoomScaleNormal="90" zoomScaleSheetLayoutView="90" zoomScalePageLayoutView="60" workbookViewId="0">
      <selection activeCell="R5" sqref="R5"/>
    </sheetView>
  </sheetViews>
  <sheetFormatPr defaultColWidth="9.109375" defaultRowHeight="13.8" outlineLevelCol="1" x14ac:dyDescent="0.3"/>
  <cols>
    <col min="1" max="1" width="16.109375" style="5" customWidth="1"/>
    <col min="2" max="2" width="21.33203125" style="5" customWidth="1"/>
    <col min="3" max="3" width="19.6640625" style="5" customWidth="1" outlineLevel="1"/>
    <col min="4" max="4" width="9.77734375" style="5" customWidth="1" outlineLevel="1"/>
    <col min="5" max="5" width="10.33203125" style="5" customWidth="1" outlineLevel="1"/>
    <col min="6" max="6" width="10.44140625" style="5" customWidth="1" outlineLevel="1"/>
    <col min="7" max="7" width="11.5546875" style="5" customWidth="1" outlineLevel="1"/>
    <col min="8" max="8" width="9.6640625" style="5" customWidth="1" outlineLevel="1"/>
    <col min="9" max="9" width="13.6640625" style="5" customWidth="1" outlineLevel="1"/>
    <col min="10" max="10" width="11.88671875" style="5" customWidth="1" outlineLevel="1"/>
    <col min="11" max="11" width="9.6640625" style="5" customWidth="1" outlineLevel="1"/>
    <col min="12" max="12" width="10.88671875" style="5" customWidth="1" outlineLevel="1"/>
    <col min="13" max="13" width="14" style="5" customWidth="1" outlineLevel="1"/>
    <col min="14" max="14" width="10.88671875" style="5" customWidth="1" outlineLevel="1"/>
    <col min="15" max="15" width="11.44140625" style="5" bestFit="1" customWidth="1"/>
    <col min="16" max="16" width="14.6640625" style="5" bestFit="1" customWidth="1"/>
    <col min="17" max="17" width="17.6640625" style="5" customWidth="1"/>
    <col min="18" max="18" width="12.33203125" style="5" customWidth="1"/>
    <col min="19" max="19" width="14.44140625" style="5" bestFit="1" customWidth="1"/>
    <col min="20" max="20" width="14.44140625" style="5" customWidth="1"/>
    <col min="21" max="21" width="16.6640625" style="5" bestFit="1" customWidth="1"/>
    <col min="22" max="22" width="18.5546875" style="5" bestFit="1" customWidth="1" collapsed="1"/>
    <col min="23" max="23" width="11.88671875" style="5" bestFit="1" customWidth="1"/>
    <col min="24" max="24" width="13.21875" style="5" customWidth="1"/>
    <col min="25" max="25" width="15.88671875" style="5" bestFit="1" customWidth="1" collapsed="1"/>
    <col min="26" max="26" width="20.6640625" style="5" bestFit="1" customWidth="1"/>
    <col min="27" max="16384" width="9.109375" style="5"/>
  </cols>
  <sheetData>
    <row r="1" spans="1:26" s="7" customFormat="1" ht="69" x14ac:dyDescent="0.3">
      <c r="A1" s="223" t="s">
        <v>91</v>
      </c>
      <c r="B1" s="223" t="s">
        <v>92</v>
      </c>
      <c r="C1" s="223" t="s">
        <v>93</v>
      </c>
      <c r="D1" s="223" t="s">
        <v>94</v>
      </c>
      <c r="E1" s="223" t="s">
        <v>95</v>
      </c>
      <c r="F1" s="223" t="s">
        <v>96</v>
      </c>
      <c r="G1" s="223" t="s">
        <v>97</v>
      </c>
      <c r="H1" s="223" t="s">
        <v>98</v>
      </c>
      <c r="I1" s="223" t="s">
        <v>99</v>
      </c>
      <c r="J1" s="223" t="s">
        <v>100</v>
      </c>
      <c r="K1" s="6" t="s">
        <v>101</v>
      </c>
      <c r="L1" s="6" t="s">
        <v>102</v>
      </c>
      <c r="M1" s="6" t="s">
        <v>103</v>
      </c>
      <c r="N1" s="6" t="s">
        <v>104</v>
      </c>
      <c r="O1" s="6" t="s">
        <v>105</v>
      </c>
      <c r="P1" s="6" t="s">
        <v>106</v>
      </c>
      <c r="Q1" s="6" t="s">
        <v>107</v>
      </c>
      <c r="R1" s="6" t="s">
        <v>453</v>
      </c>
      <c r="S1" s="6" t="s">
        <v>108</v>
      </c>
      <c r="T1" s="6" t="s">
        <v>109</v>
      </c>
      <c r="U1" s="6" t="s">
        <v>217</v>
      </c>
      <c r="V1" s="6" t="s">
        <v>218</v>
      </c>
      <c r="W1" s="6" t="s">
        <v>467</v>
      </c>
      <c r="X1" s="6" t="s">
        <v>110</v>
      </c>
      <c r="Y1" s="6" t="s">
        <v>461</v>
      </c>
    </row>
    <row r="2" spans="1:26" x14ac:dyDescent="0.3">
      <c r="A2" s="190" t="s">
        <v>457</v>
      </c>
      <c r="B2" s="190" t="s">
        <v>111</v>
      </c>
      <c r="C2" s="190" t="s">
        <v>466</v>
      </c>
      <c r="D2" s="9">
        <v>0.375</v>
      </c>
      <c r="E2" s="9">
        <v>0.72916666666666663</v>
      </c>
      <c r="F2" s="190">
        <f>(E2-D2)*1440/(60)</f>
        <v>8.4999999999999982</v>
      </c>
      <c r="G2" s="190">
        <v>1</v>
      </c>
      <c r="H2" s="190">
        <f t="shared" ref="H2:H5" si="0">F2-G2</f>
        <v>7.4999999999999982</v>
      </c>
      <c r="I2" s="190">
        <f>H2*5</f>
        <v>37.499999999999993</v>
      </c>
      <c r="J2" s="27">
        <f>I2*52/12</f>
        <v>162.49999999999997</v>
      </c>
      <c r="K2" s="11">
        <f>ROUND(R2/52/I2,4)</f>
        <v>20.261099999999999</v>
      </c>
      <c r="L2" s="10">
        <f t="shared" ref="L2:L5" si="1">K2*1.5</f>
        <v>30.391649999999998</v>
      </c>
      <c r="M2" s="10">
        <f t="shared" ref="M2:M5" si="2">K2*2</f>
        <v>40.522199999999998</v>
      </c>
      <c r="N2" s="12">
        <f>R2/52</f>
        <v>759.79211538461539</v>
      </c>
      <c r="O2" s="13">
        <f>ROUND(R2/12,2)</f>
        <v>3292.43</v>
      </c>
      <c r="P2" s="14">
        <f t="shared" ref="P2:Q5" si="3">S2/12</f>
        <v>98.772974999999988</v>
      </c>
      <c r="Q2" s="14">
        <f t="shared" si="3"/>
        <v>164.62162500000002</v>
      </c>
      <c r="R2" s="15">
        <f>37485*105.4%</f>
        <v>39509.19</v>
      </c>
      <c r="S2" s="15">
        <f>$R2*3%</f>
        <v>1185.2756999999999</v>
      </c>
      <c r="T2" s="15">
        <f>$R2*5%</f>
        <v>1975.4595000000002</v>
      </c>
      <c r="U2" s="15">
        <f>Y2*(H2*K2)*0.6</f>
        <v>1823.4989999999993</v>
      </c>
      <c r="V2" s="15">
        <f>(R2-$W413)*13.25%</f>
        <v>5234.9676750000008</v>
      </c>
      <c r="W2" s="15">
        <v>0</v>
      </c>
      <c r="X2" s="16">
        <f>R2+S2+U2+V2+W2</f>
        <v>47752.932374999997</v>
      </c>
      <c r="Y2" s="190">
        <v>20</v>
      </c>
    </row>
    <row r="3" spans="1:26" x14ac:dyDescent="0.3">
      <c r="A3" s="190" t="s">
        <v>455</v>
      </c>
      <c r="B3" s="17" t="s">
        <v>112</v>
      </c>
      <c r="C3" s="190" t="s">
        <v>464</v>
      </c>
      <c r="D3" s="9">
        <v>0.375</v>
      </c>
      <c r="E3" s="9">
        <v>0.70833333333333337</v>
      </c>
      <c r="F3" s="190">
        <f>(E3-D3)*1440/(60)</f>
        <v>8.0000000000000018</v>
      </c>
      <c r="G3" s="190">
        <v>1</v>
      </c>
      <c r="H3" s="190">
        <f>F3-G3</f>
        <v>7.0000000000000018</v>
      </c>
      <c r="I3" s="190">
        <f>H3*2</f>
        <v>14.000000000000004</v>
      </c>
      <c r="J3" s="27">
        <f>I3*52/12</f>
        <v>60.666666666666686</v>
      </c>
      <c r="K3" s="11">
        <f>ROUND(R3/52/I3,4)</f>
        <v>16.483499999999999</v>
      </c>
      <c r="L3" s="10">
        <f>K3*1.5</f>
        <v>24.725249999999999</v>
      </c>
      <c r="M3" s="10">
        <f>K3*2</f>
        <v>32.966999999999999</v>
      </c>
      <c r="N3" s="12">
        <f>R3/52</f>
        <v>230.76923076923077</v>
      </c>
      <c r="O3" s="13">
        <f>ROUND(R3/12,2)</f>
        <v>1000</v>
      </c>
      <c r="P3" s="14">
        <f t="shared" si="3"/>
        <v>30</v>
      </c>
      <c r="Q3" s="14">
        <f t="shared" si="3"/>
        <v>50</v>
      </c>
      <c r="R3" s="15">
        <f>30000/5*2</f>
        <v>12000</v>
      </c>
      <c r="S3" s="15">
        <f>$R3*3%</f>
        <v>360</v>
      </c>
      <c r="T3" s="15">
        <f>$R3*5%</f>
        <v>600</v>
      </c>
      <c r="U3" s="15">
        <f>Y3*(H3*K3)*0.6</f>
        <v>553.8456000000001</v>
      </c>
      <c r="V3" s="15">
        <f>(R3-$W415)*13.25%</f>
        <v>1590</v>
      </c>
      <c r="W3" s="15">
        <v>0</v>
      </c>
      <c r="X3" s="16">
        <f>R3+S3+U3+V3+W3</f>
        <v>14503.845600000001</v>
      </c>
      <c r="Y3" s="190">
        <v>8</v>
      </c>
    </row>
    <row r="4" spans="1:26" x14ac:dyDescent="0.3">
      <c r="A4" s="190" t="s">
        <v>456</v>
      </c>
      <c r="B4" s="17" t="s">
        <v>230</v>
      </c>
      <c r="C4" s="190" t="s">
        <v>465</v>
      </c>
      <c r="D4" s="9">
        <v>0.39583333333333331</v>
      </c>
      <c r="E4" s="9">
        <v>0.72916666666666663</v>
      </c>
      <c r="F4" s="190">
        <f>(E4-D4)*1440/(60)</f>
        <v>8</v>
      </c>
      <c r="G4" s="190">
        <v>1</v>
      </c>
      <c r="H4" s="190">
        <f t="shared" si="0"/>
        <v>7</v>
      </c>
      <c r="I4" s="190">
        <f>H4*3</f>
        <v>21</v>
      </c>
      <c r="J4" s="27">
        <f>I4*52/12</f>
        <v>91</v>
      </c>
      <c r="K4" s="11">
        <f>ROUND(R4/52/I4,4)</f>
        <v>13.1868</v>
      </c>
      <c r="L4" s="10">
        <f t="shared" si="1"/>
        <v>19.780200000000001</v>
      </c>
      <c r="M4" s="10">
        <f t="shared" si="2"/>
        <v>26.3736</v>
      </c>
      <c r="N4" s="12">
        <f>R4/52</f>
        <v>276.92307692307691</v>
      </c>
      <c r="O4" s="13">
        <f>ROUND(R4/12,2)</f>
        <v>1200</v>
      </c>
      <c r="P4" s="14">
        <f t="shared" si="3"/>
        <v>36</v>
      </c>
      <c r="Q4" s="14">
        <f t="shared" si="3"/>
        <v>60</v>
      </c>
      <c r="R4" s="15">
        <f>24000/5*3</f>
        <v>14400</v>
      </c>
      <c r="S4" s="15">
        <f>$R4*3%</f>
        <v>432</v>
      </c>
      <c r="T4" s="15">
        <f t="shared" ref="T4:T5" si="4">$R4*5%</f>
        <v>720</v>
      </c>
      <c r="U4" s="15">
        <f>Y4*(H4*K4)*0.6</f>
        <v>664.61471999999992</v>
      </c>
      <c r="V4" s="15">
        <f>(R4-$W414)*13.25%</f>
        <v>1908</v>
      </c>
      <c r="W4" s="15">
        <v>0</v>
      </c>
      <c r="X4" s="16">
        <f>R4+S4+U4+V4+W4</f>
        <v>17404.614719999998</v>
      </c>
      <c r="Y4" s="190">
        <v>12</v>
      </c>
    </row>
    <row r="5" spans="1:26" x14ac:dyDescent="0.3">
      <c r="A5" s="190" t="s">
        <v>458</v>
      </c>
      <c r="B5" s="190" t="s">
        <v>454</v>
      </c>
      <c r="C5" s="190" t="s">
        <v>463</v>
      </c>
      <c r="D5" s="9">
        <v>0.375</v>
      </c>
      <c r="E5" s="9">
        <v>0.70833333333333337</v>
      </c>
      <c r="F5" s="190">
        <f t="shared" ref="F5" si="5">(E5-D5)*1440/(60)</f>
        <v>8.0000000000000018</v>
      </c>
      <c r="G5" s="190">
        <v>1</v>
      </c>
      <c r="H5" s="190">
        <f t="shared" si="0"/>
        <v>7.0000000000000018</v>
      </c>
      <c r="I5" s="190">
        <f>H5*3</f>
        <v>21.000000000000007</v>
      </c>
      <c r="J5" s="27">
        <f t="shared" ref="J5" si="6">I5*52/12</f>
        <v>91.000000000000043</v>
      </c>
      <c r="K5" s="11">
        <f>ROUND(R5/52/I5,4)</f>
        <v>10</v>
      </c>
      <c r="L5" s="10">
        <f t="shared" si="1"/>
        <v>15</v>
      </c>
      <c r="M5" s="10">
        <f t="shared" si="2"/>
        <v>20</v>
      </c>
      <c r="N5" s="12">
        <f>R5/52</f>
        <v>210</v>
      </c>
      <c r="O5" s="13">
        <f>ROUND(R5/12,2)</f>
        <v>910</v>
      </c>
      <c r="P5" s="14">
        <f t="shared" si="3"/>
        <v>0</v>
      </c>
      <c r="Q5" s="14">
        <f t="shared" si="3"/>
        <v>45.5</v>
      </c>
      <c r="R5" s="15">
        <f>91*10*12</f>
        <v>10920</v>
      </c>
      <c r="S5" s="15">
        <f>$R5*0%</f>
        <v>0</v>
      </c>
      <c r="T5" s="15">
        <f t="shared" si="4"/>
        <v>546</v>
      </c>
      <c r="U5" s="15">
        <f>Y5*(H5*K5)*0.6</f>
        <v>504.00000000000011</v>
      </c>
      <c r="V5" s="15">
        <f>(R5-$W418)*13.25%</f>
        <v>1446.9</v>
      </c>
      <c r="W5" s="15">
        <v>0</v>
      </c>
      <c r="X5" s="16">
        <f>R5+S5+U5+V5+W5</f>
        <v>12870.9</v>
      </c>
      <c r="Y5" s="190">
        <v>12</v>
      </c>
    </row>
    <row r="7" spans="1:26" x14ac:dyDescent="0.3">
      <c r="A7" s="18"/>
      <c r="B7" s="18"/>
      <c r="F7" s="19"/>
      <c r="G7" s="19"/>
      <c r="H7" s="19"/>
      <c r="K7" s="20"/>
      <c r="L7" s="8"/>
      <c r="M7" s="8"/>
      <c r="N7" s="21"/>
      <c r="O7" s="20"/>
      <c r="P7" s="20"/>
      <c r="Q7" s="20"/>
      <c r="R7" s="15">
        <f t="shared" ref="R7:X7" si="7">SUM(R2:R5)</f>
        <v>76829.19</v>
      </c>
      <c r="S7" s="15">
        <f t="shared" si="7"/>
        <v>1977.2756999999999</v>
      </c>
      <c r="T7" s="15">
        <f t="shared" si="7"/>
        <v>3841.4594999999999</v>
      </c>
      <c r="U7" s="15">
        <f t="shared" si="7"/>
        <v>3545.9593199999995</v>
      </c>
      <c r="V7" s="15">
        <f t="shared" si="7"/>
        <v>10179.867675</v>
      </c>
      <c r="W7" s="15">
        <f t="shared" si="7"/>
        <v>0</v>
      </c>
      <c r="X7" s="16">
        <f t="shared" si="7"/>
        <v>92532.292694999982</v>
      </c>
      <c r="Y7" s="20"/>
    </row>
    <row r="8" spans="1:26" ht="14.4" thickBot="1" x14ac:dyDescent="0.35">
      <c r="H8" s="22"/>
    </row>
    <row r="9" spans="1:26" x14ac:dyDescent="0.3">
      <c r="A9" s="5" t="s">
        <v>114</v>
      </c>
      <c r="L9" s="5" t="s">
        <v>239</v>
      </c>
      <c r="R9" s="408" t="s">
        <v>30</v>
      </c>
      <c r="S9" s="409"/>
      <c r="T9" s="409"/>
      <c r="U9" s="221" t="s">
        <v>1</v>
      </c>
      <c r="V9" s="221">
        <v>2023</v>
      </c>
      <c r="W9" s="221">
        <v>2022</v>
      </c>
      <c r="X9" s="222" t="s">
        <v>267</v>
      </c>
    </row>
    <row r="10" spans="1:26" x14ac:dyDescent="0.3">
      <c r="A10" s="24" t="s">
        <v>459</v>
      </c>
      <c r="L10" s="226" t="s">
        <v>113</v>
      </c>
      <c r="M10" s="226" t="s">
        <v>220</v>
      </c>
      <c r="N10" s="226" t="s">
        <v>221</v>
      </c>
      <c r="O10" s="226" t="s">
        <v>222</v>
      </c>
      <c r="P10" s="226" t="s">
        <v>223</v>
      </c>
      <c r="R10" s="404" t="s">
        <v>31</v>
      </c>
      <c r="S10" s="405"/>
      <c r="T10" s="405"/>
      <c r="U10" s="190">
        <v>5001</v>
      </c>
      <c r="V10" s="26">
        <f>SUM(R2:R4)</f>
        <v>65909.19</v>
      </c>
      <c r="W10" s="27">
        <v>56685</v>
      </c>
      <c r="X10" s="28">
        <f>V10-W10</f>
        <v>9224.1900000000023</v>
      </c>
    </row>
    <row r="11" spans="1:26" x14ac:dyDescent="0.3">
      <c r="A11" s="24" t="s">
        <v>115</v>
      </c>
      <c r="L11" s="190" t="s">
        <v>225</v>
      </c>
      <c r="M11" s="29">
        <v>35</v>
      </c>
      <c r="N11" s="190">
        <f>M11*52</f>
        <v>1820</v>
      </c>
      <c r="O11" s="219">
        <v>10</v>
      </c>
      <c r="P11" s="219">
        <f>N11*O11</f>
        <v>18200</v>
      </c>
      <c r="R11" s="404" t="s">
        <v>444</v>
      </c>
      <c r="S11" s="405"/>
      <c r="T11" s="405"/>
      <c r="U11" s="190">
        <v>50011</v>
      </c>
      <c r="V11" s="26">
        <f>SUM(R5:R5)</f>
        <v>10920</v>
      </c>
      <c r="W11" s="27">
        <v>10920</v>
      </c>
      <c r="X11" s="28">
        <f t="shared" ref="X11:X17" si="8">V11-W11</f>
        <v>0</v>
      </c>
    </row>
    <row r="12" spans="1:26" x14ac:dyDescent="0.3">
      <c r="A12" s="24" t="s">
        <v>215</v>
      </c>
      <c r="L12" s="190" t="s">
        <v>219</v>
      </c>
      <c r="M12" s="29">
        <v>35</v>
      </c>
      <c r="N12" s="190">
        <f>M12*52</f>
        <v>1820</v>
      </c>
      <c r="O12" s="219">
        <v>10</v>
      </c>
      <c r="P12" s="219">
        <f t="shared" ref="P12" si="9">N12*O12</f>
        <v>18200</v>
      </c>
      <c r="R12" s="404" t="s">
        <v>32</v>
      </c>
      <c r="S12" s="405"/>
      <c r="T12" s="405"/>
      <c r="U12" s="190">
        <v>5002</v>
      </c>
      <c r="V12" s="26">
        <f>SUM(V2:V4)</f>
        <v>8732.9676749999999</v>
      </c>
      <c r="W12" s="27">
        <v>8816.130000000001</v>
      </c>
      <c r="X12" s="28">
        <f t="shared" si="8"/>
        <v>-83.162325000001147</v>
      </c>
    </row>
    <row r="13" spans="1:26" x14ac:dyDescent="0.3">
      <c r="A13" s="24"/>
      <c r="L13" s="190" t="s">
        <v>444</v>
      </c>
      <c r="M13" s="29"/>
      <c r="N13" s="190"/>
      <c r="O13" s="219"/>
      <c r="P13" s="219">
        <f>V17</f>
        <v>504.00000000000011</v>
      </c>
      <c r="R13" s="404" t="s">
        <v>445</v>
      </c>
      <c r="S13" s="405"/>
      <c r="T13" s="405"/>
      <c r="U13" s="190">
        <v>50021</v>
      </c>
      <c r="V13" s="26">
        <f>SUM(V5:V5)</f>
        <v>1446.9</v>
      </c>
      <c r="W13" s="27">
        <v>1506.96</v>
      </c>
      <c r="X13" s="28">
        <f t="shared" si="8"/>
        <v>-60.059999999999945</v>
      </c>
      <c r="Z13" s="23"/>
    </row>
    <row r="14" spans="1:26" s="7" customFormat="1" x14ac:dyDescent="0.3">
      <c r="A14" s="218"/>
      <c r="L14" s="190" t="s">
        <v>460</v>
      </c>
      <c r="M14" s="29"/>
      <c r="N14" s="190"/>
      <c r="O14" s="219"/>
      <c r="P14" s="219">
        <f>SUM(P11:P13)*5.2%</f>
        <v>1919.0080000000003</v>
      </c>
      <c r="R14" s="404" t="s">
        <v>446</v>
      </c>
      <c r="S14" s="405"/>
      <c r="T14" s="405"/>
      <c r="U14" s="190">
        <v>5003</v>
      </c>
      <c r="V14" s="26">
        <f>SUM(S5:S5)</f>
        <v>0</v>
      </c>
      <c r="W14" s="27">
        <v>0</v>
      </c>
      <c r="X14" s="28">
        <f t="shared" si="8"/>
        <v>0</v>
      </c>
      <c r="Y14" s="5"/>
    </row>
    <row r="15" spans="1:26" x14ac:dyDescent="0.3">
      <c r="A15" s="24"/>
      <c r="L15" s="224" t="s">
        <v>462</v>
      </c>
      <c r="M15" s="224"/>
      <c r="N15" s="224"/>
      <c r="O15" s="225"/>
      <c r="P15" s="225">
        <f>SUM(P11:P14)</f>
        <v>38823.008000000002</v>
      </c>
      <c r="R15" s="404" t="s">
        <v>33</v>
      </c>
      <c r="S15" s="405"/>
      <c r="T15" s="405"/>
      <c r="U15" s="190">
        <v>5020</v>
      </c>
      <c r="V15" s="26">
        <f>SUM(S2:S4)</f>
        <v>1977.2756999999999</v>
      </c>
      <c r="W15" s="27">
        <v>1653.18</v>
      </c>
      <c r="X15" s="28">
        <f t="shared" si="8"/>
        <v>324.09569999999985</v>
      </c>
    </row>
    <row r="16" spans="1:26" x14ac:dyDescent="0.3">
      <c r="A16" s="24"/>
      <c r="R16" s="404" t="s">
        <v>447</v>
      </c>
      <c r="S16" s="405"/>
      <c r="T16" s="405"/>
      <c r="U16" s="190">
        <v>5042</v>
      </c>
      <c r="V16" s="26">
        <f>SUM(U2:U4)</f>
        <v>3041.9593199999995</v>
      </c>
      <c r="W16" s="27">
        <v>1500</v>
      </c>
      <c r="X16" s="28">
        <f t="shared" si="8"/>
        <v>1541.9593199999995</v>
      </c>
    </row>
    <row r="17" spans="18:26" x14ac:dyDescent="0.3">
      <c r="R17" s="404" t="s">
        <v>448</v>
      </c>
      <c r="S17" s="405"/>
      <c r="T17" s="405"/>
      <c r="U17" s="190">
        <v>5043</v>
      </c>
      <c r="V17" s="26">
        <f>SUM(U5:U5)</f>
        <v>504.00000000000011</v>
      </c>
      <c r="W17" s="27">
        <v>0</v>
      </c>
      <c r="X17" s="28">
        <f t="shared" si="8"/>
        <v>504.00000000000011</v>
      </c>
    </row>
    <row r="18" spans="18:26" ht="14.4" thickBot="1" x14ac:dyDescent="0.35">
      <c r="R18" s="406"/>
      <c r="S18" s="407"/>
      <c r="T18" s="407"/>
      <c r="U18" s="227"/>
      <c r="V18" s="228">
        <f>SUM(V10:V17)</f>
        <v>92532.292694999982</v>
      </c>
      <c r="W18" s="228">
        <f>SUM(W10:W17)</f>
        <v>81081.27</v>
      </c>
      <c r="X18" s="228">
        <f>SUM(X10:X17)</f>
        <v>11451.022695000001</v>
      </c>
    </row>
    <row r="19" spans="18:26" x14ac:dyDescent="0.3">
      <c r="V19" s="25">
        <f>R7+S7+U7+V7</f>
        <v>92532.292694999996</v>
      </c>
    </row>
    <row r="20" spans="18:26" x14ac:dyDescent="0.3">
      <c r="V20" s="25">
        <f>V18-V19</f>
        <v>0</v>
      </c>
    </row>
    <row r="21" spans="18:26" x14ac:dyDescent="0.3">
      <c r="W21" s="25"/>
    </row>
    <row r="22" spans="18:26" x14ac:dyDescent="0.3">
      <c r="W22" s="373"/>
    </row>
    <row r="23" spans="18:26" s="24" customFormat="1" x14ac:dyDescent="0.3"/>
    <row r="31" spans="18:26" x14ac:dyDescent="0.3">
      <c r="Z31" s="55"/>
    </row>
    <row r="32" spans="18:26" x14ac:dyDescent="0.3">
      <c r="Z32" s="55"/>
    </row>
    <row r="33" spans="26:26" x14ac:dyDescent="0.3">
      <c r="Z33" s="55"/>
    </row>
  </sheetData>
  <autoFilter ref="A1:V7" xr:uid="{00000000-0009-0000-0000-000000000000}"/>
  <mergeCells count="10">
    <mergeCell ref="R15:T15"/>
    <mergeCell ref="R16:T16"/>
    <mergeCell ref="R17:T17"/>
    <mergeCell ref="R18:T18"/>
    <mergeCell ref="R9:T9"/>
    <mergeCell ref="R10:T10"/>
    <mergeCell ref="R11:T11"/>
    <mergeCell ref="R12:T12"/>
    <mergeCell ref="R13:T13"/>
    <mergeCell ref="R14:T14"/>
  </mergeCells>
  <printOptions horizontalCentered="1" gridLines="1"/>
  <pageMargins left="0.31496062992125984" right="0.31496062992125984" top="0.94488188976377963" bottom="0.15748031496062992" header="0.31496062992125984" footer="0.11811023622047245"/>
  <pageSetup paperSize="9" scale="90"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E760B-A236-49FB-ACAE-E38C8AE3024C}">
  <dimension ref="A1:H21"/>
  <sheetViews>
    <sheetView workbookViewId="0">
      <selection activeCell="G21" sqref="G21"/>
    </sheetView>
  </sheetViews>
  <sheetFormatPr defaultRowHeight="14.4" x14ac:dyDescent="0.3"/>
  <cols>
    <col min="1" max="1" width="66.109375" style="286" bestFit="1" customWidth="1"/>
    <col min="2" max="2" width="13.6640625" style="286" bestFit="1" customWidth="1"/>
    <col min="3" max="3" width="33.88671875" style="286" bestFit="1" customWidth="1"/>
    <col min="4" max="4" width="11.6640625" style="286" bestFit="1" customWidth="1"/>
    <col min="5" max="5" width="10.44140625" style="286" bestFit="1" customWidth="1"/>
    <col min="6" max="6" width="11.33203125" style="291" bestFit="1" customWidth="1"/>
    <col min="7" max="7" width="16.5546875" style="291" bestFit="1" customWidth="1"/>
    <col min="8" max="8" width="28" style="291" bestFit="1" customWidth="1"/>
    <col min="9" max="16384" width="8.88671875" style="286"/>
  </cols>
  <sheetData>
    <row r="1" spans="1:8" x14ac:dyDescent="0.3">
      <c r="A1" s="286" t="str">
        <f>'[1]2020'!A6</f>
        <v xml:space="preserve">Office Furniture &amp; Equipment  </v>
      </c>
      <c r="E1" s="287"/>
      <c r="F1" s="286"/>
      <c r="G1" s="286"/>
      <c r="H1" s="286"/>
    </row>
    <row r="2" spans="1:8" s="288" customFormat="1" ht="13.2" x14ac:dyDescent="0.25">
      <c r="A2" s="288" t="s">
        <v>618</v>
      </c>
      <c r="B2" s="288" t="s">
        <v>619</v>
      </c>
      <c r="C2" s="288" t="s">
        <v>620</v>
      </c>
      <c r="D2" s="288" t="s">
        <v>621</v>
      </c>
      <c r="E2" s="288" t="s">
        <v>622</v>
      </c>
      <c r="F2" s="289" t="s">
        <v>623</v>
      </c>
      <c r="G2" s="289" t="s">
        <v>624</v>
      </c>
      <c r="H2" s="289" t="s">
        <v>625</v>
      </c>
    </row>
    <row r="3" spans="1:8" x14ac:dyDescent="0.3">
      <c r="A3" s="286" t="s">
        <v>626</v>
      </c>
      <c r="B3" s="290">
        <v>44287</v>
      </c>
      <c r="C3" s="290">
        <v>45747</v>
      </c>
      <c r="D3" s="291">
        <f t="shared" ref="D3:D8" si="0">(C3-B3)/365</f>
        <v>4</v>
      </c>
      <c r="E3" s="292">
        <v>5467</v>
      </c>
      <c r="F3" s="292">
        <f t="shared" ref="F3:F8" si="1">E3/48</f>
        <v>113.89583333333333</v>
      </c>
      <c r="G3" s="292">
        <f t="shared" ref="G3:G8" si="2">F3*12</f>
        <v>1366.75</v>
      </c>
      <c r="H3" s="286"/>
    </row>
    <row r="4" spans="1:8" x14ac:dyDescent="0.3">
      <c r="A4" s="286" t="s">
        <v>627</v>
      </c>
      <c r="B4" s="290">
        <v>44652</v>
      </c>
      <c r="C4" s="290">
        <v>46112</v>
      </c>
      <c r="D4" s="291">
        <f t="shared" si="0"/>
        <v>4</v>
      </c>
      <c r="E4" s="292">
        <v>648.91</v>
      </c>
      <c r="F4" s="292">
        <f t="shared" si="1"/>
        <v>13.518958333333332</v>
      </c>
      <c r="G4" s="292">
        <f t="shared" si="2"/>
        <v>162.22749999999999</v>
      </c>
      <c r="H4" s="286"/>
    </row>
    <row r="5" spans="1:8" x14ac:dyDescent="0.3">
      <c r="A5" s="293" t="s">
        <v>628</v>
      </c>
      <c r="B5" s="290">
        <v>44876</v>
      </c>
      <c r="C5" s="290">
        <v>46336</v>
      </c>
      <c r="D5" s="291">
        <f t="shared" si="0"/>
        <v>4</v>
      </c>
      <c r="E5" s="294">
        <v>4900</v>
      </c>
      <c r="F5" s="292">
        <f t="shared" si="1"/>
        <v>102.08333333333333</v>
      </c>
      <c r="G5" s="292">
        <f t="shared" si="2"/>
        <v>1225</v>
      </c>
      <c r="H5" s="286"/>
    </row>
    <row r="6" spans="1:8" x14ac:dyDescent="0.3">
      <c r="A6" s="293" t="s">
        <v>629</v>
      </c>
      <c r="B6" s="290">
        <v>44876</v>
      </c>
      <c r="C6" s="290">
        <v>46336</v>
      </c>
      <c r="D6" s="291">
        <f t="shared" si="0"/>
        <v>4</v>
      </c>
      <c r="E6" s="294">
        <v>4900</v>
      </c>
      <c r="F6" s="292">
        <f t="shared" si="1"/>
        <v>102.08333333333333</v>
      </c>
      <c r="G6" s="292">
        <f t="shared" si="2"/>
        <v>1225</v>
      </c>
      <c r="H6" s="286"/>
    </row>
    <row r="7" spans="1:8" x14ac:dyDescent="0.3">
      <c r="A7" s="293" t="s">
        <v>630</v>
      </c>
      <c r="B7" s="290">
        <v>44826</v>
      </c>
      <c r="C7" s="290">
        <v>46286</v>
      </c>
      <c r="D7" s="291">
        <f t="shared" si="0"/>
        <v>4</v>
      </c>
      <c r="E7" s="294">
        <v>504</v>
      </c>
      <c r="F7" s="292">
        <f t="shared" si="1"/>
        <v>10.5</v>
      </c>
      <c r="G7" s="292">
        <f t="shared" si="2"/>
        <v>126</v>
      </c>
      <c r="H7" s="286"/>
    </row>
    <row r="8" spans="1:8" ht="15" thickBot="1" x14ac:dyDescent="0.35">
      <c r="A8" s="295" t="s">
        <v>631</v>
      </c>
      <c r="B8" s="290">
        <v>44826</v>
      </c>
      <c r="C8" s="290">
        <v>46286</v>
      </c>
      <c r="D8" s="291">
        <f t="shared" si="0"/>
        <v>4</v>
      </c>
      <c r="E8" s="296">
        <v>1016</v>
      </c>
      <c r="F8" s="292">
        <f t="shared" si="1"/>
        <v>21.166666666666668</v>
      </c>
      <c r="G8" s="292">
        <f t="shared" si="2"/>
        <v>254</v>
      </c>
      <c r="H8" s="286"/>
    </row>
    <row r="9" spans="1:8" s="288" customFormat="1" ht="13.8" thickBot="1" x14ac:dyDescent="0.3">
      <c r="E9" s="297">
        <f>SUM(E3:E8)</f>
        <v>17435.91</v>
      </c>
      <c r="F9" s="297">
        <f>SUM(F3:F8)</f>
        <v>363.24812500000002</v>
      </c>
      <c r="G9" s="297">
        <f>SUM(G3:G8)</f>
        <v>4358.9775</v>
      </c>
    </row>
    <row r="10" spans="1:8" ht="15" thickTop="1" x14ac:dyDescent="0.3">
      <c r="E10" s="292"/>
      <c r="F10" s="286"/>
      <c r="G10" s="291">
        <f>G9/12</f>
        <v>363.24812500000002</v>
      </c>
      <c r="H10" s="286"/>
    </row>
    <row r="11" spans="1:8" s="288" customFormat="1" ht="13.2" x14ac:dyDescent="0.25">
      <c r="A11" s="288" t="str">
        <f t="shared" ref="A11:H11" si="3">A2</f>
        <v>SCHEDULE OF DEPRECIATION</v>
      </c>
      <c r="B11" s="288" t="str">
        <f t="shared" si="3"/>
        <v>Purchase date</v>
      </c>
      <c r="C11" s="288" t="str">
        <f t="shared" si="3"/>
        <v>DEPRECIATION END DATE</v>
      </c>
      <c r="D11" s="288" t="str">
        <f t="shared" si="3"/>
        <v xml:space="preserve">No of Years </v>
      </c>
      <c r="E11" s="288" t="str">
        <f t="shared" si="3"/>
        <v>COST</v>
      </c>
      <c r="F11" s="288" t="str">
        <f t="shared" si="3"/>
        <v>Per Month</v>
      </c>
      <c r="G11" s="288" t="str">
        <f t="shared" si="3"/>
        <v>DEPN FOR 2024</v>
      </c>
      <c r="H11" s="288" t="str">
        <f t="shared" si="3"/>
        <v>Purpose/Used by</v>
      </c>
    </row>
    <row r="12" spans="1:8" ht="16.2" customHeight="1" x14ac:dyDescent="0.3">
      <c r="A12" s="286" t="str">
        <f>'[1]2020'!B14</f>
        <v>Lexmark MC 2535 Adwe</v>
      </c>
      <c r="B12" s="290">
        <f>'[1]2020'!AD14</f>
        <v>43745</v>
      </c>
      <c r="C12" s="290">
        <f>'[1]2020'!AF14</f>
        <v>45205</v>
      </c>
      <c r="D12" s="291">
        <f t="shared" ref="D12:D15" si="4">(C12-B12)/365</f>
        <v>4</v>
      </c>
      <c r="E12" s="298">
        <f>'[1]2020'!E14</f>
        <v>423.03</v>
      </c>
      <c r="F12" s="291">
        <f>'[1]2020'!AH14</f>
        <v>8.8131249999999994</v>
      </c>
      <c r="G12" s="291">
        <f>F12*12</f>
        <v>105.75749999999999</v>
      </c>
      <c r="H12" s="299" t="s">
        <v>632</v>
      </c>
    </row>
    <row r="13" spans="1:8" x14ac:dyDescent="0.3">
      <c r="A13" s="298" t="str">
        <f>'[1]2020'!B33</f>
        <v xml:space="preserve">Lenovo laptop V15 -IWL </v>
      </c>
      <c r="B13" s="290">
        <f>'[1]2020'!AD33</f>
        <v>43888</v>
      </c>
      <c r="C13" s="290">
        <f>'[1]2020'!AF33</f>
        <v>45349</v>
      </c>
      <c r="D13" s="291">
        <f t="shared" si="4"/>
        <v>4.0027397260273974</v>
      </c>
      <c r="E13" s="298">
        <f>'[1]2020'!E33</f>
        <v>442.48</v>
      </c>
      <c r="F13" s="291">
        <f>'[1]2020'!AH33</f>
        <v>9.2183333333333337</v>
      </c>
      <c r="G13" s="291">
        <f>F13*12</f>
        <v>110.62</v>
      </c>
      <c r="H13" s="299" t="s">
        <v>633</v>
      </c>
    </row>
    <row r="14" spans="1:8" x14ac:dyDescent="0.3">
      <c r="A14" s="298" t="s">
        <v>634</v>
      </c>
      <c r="B14" s="290">
        <v>44540</v>
      </c>
      <c r="C14" s="290">
        <v>46000</v>
      </c>
      <c r="D14" s="291">
        <f t="shared" si="4"/>
        <v>4</v>
      </c>
      <c r="E14" s="298">
        <v>315.83</v>
      </c>
      <c r="F14" s="291">
        <f>E14/48</f>
        <v>6.579791666666666</v>
      </c>
      <c r="G14" s="291">
        <f>F14*12</f>
        <v>78.957499999999996</v>
      </c>
      <c r="H14" s="299" t="s">
        <v>635</v>
      </c>
    </row>
    <row r="15" spans="1:8" x14ac:dyDescent="0.3">
      <c r="A15" s="298" t="s">
        <v>636</v>
      </c>
      <c r="B15" s="290">
        <v>44708</v>
      </c>
      <c r="C15" s="290">
        <v>46168</v>
      </c>
      <c r="D15" s="291">
        <f t="shared" si="4"/>
        <v>4</v>
      </c>
      <c r="E15" s="298">
        <v>565</v>
      </c>
      <c r="F15" s="291">
        <f>E15/48</f>
        <v>11.770833333333334</v>
      </c>
      <c r="G15" s="291">
        <f>F15*11</f>
        <v>129.47916666666669</v>
      </c>
      <c r="H15" s="299" t="s">
        <v>637</v>
      </c>
    </row>
    <row r="16" spans="1:8" ht="15" thickBot="1" x14ac:dyDescent="0.35">
      <c r="A16" s="298"/>
      <c r="B16" s="290"/>
      <c r="C16" s="290"/>
      <c r="D16" s="291"/>
      <c r="E16" s="297">
        <f>SUM(E12:E15)</f>
        <v>1746.34</v>
      </c>
      <c r="F16" s="297">
        <f>SUM(F12:F15)</f>
        <v>36.382083333333334</v>
      </c>
      <c r="G16" s="297">
        <f>SUM(G12:G15)</f>
        <v>424.81416666666667</v>
      </c>
      <c r="H16" s="299"/>
    </row>
    <row r="17" spans="2:7" ht="15" thickTop="1" x14ac:dyDescent="0.3">
      <c r="G17" s="291">
        <f>G16/12</f>
        <v>35.401180555555555</v>
      </c>
    </row>
    <row r="18" spans="2:7" x14ac:dyDescent="0.3">
      <c r="E18" s="286" t="s">
        <v>638</v>
      </c>
      <c r="F18" s="291" t="s">
        <v>639</v>
      </c>
    </row>
    <row r="19" spans="2:7" x14ac:dyDescent="0.3">
      <c r="B19" s="286">
        <v>8000</v>
      </c>
      <c r="C19" s="286" t="s">
        <v>640</v>
      </c>
      <c r="E19" s="292">
        <f>F20+F21</f>
        <v>398.64930555555554</v>
      </c>
    </row>
    <row r="20" spans="2:7" x14ac:dyDescent="0.3">
      <c r="B20" s="286">
        <v>1015</v>
      </c>
      <c r="C20" s="286" t="s">
        <v>616</v>
      </c>
      <c r="F20" s="291">
        <f>G10</f>
        <v>363.24812500000002</v>
      </c>
    </row>
    <row r="21" spans="2:7" x14ac:dyDescent="0.3">
      <c r="B21" s="286">
        <v>1025</v>
      </c>
      <c r="C21" s="286" t="s">
        <v>617</v>
      </c>
      <c r="F21" s="291">
        <f>G17</f>
        <v>35.401180555555555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5</vt:i4>
      </vt:variant>
    </vt:vector>
  </HeadingPairs>
  <TitlesOfParts>
    <vt:vector size="17" baseType="lpstr">
      <vt:lpstr>CONSOLE</vt:lpstr>
      <vt:lpstr>LHA</vt:lpstr>
      <vt:lpstr>TENANTS</vt:lpstr>
      <vt:lpstr>CUMTB23</vt:lpstr>
      <vt:lpstr>TB22</vt:lpstr>
      <vt:lpstr>TB21</vt:lpstr>
      <vt:lpstr>Payroll24</vt:lpstr>
      <vt:lpstr>Payroll23</vt:lpstr>
      <vt:lpstr>FAR</vt:lpstr>
      <vt:lpstr>WBC OFFER 2023</vt:lpstr>
      <vt:lpstr>WBC OFFER 2022</vt:lpstr>
      <vt:lpstr>21% 21</vt:lpstr>
      <vt:lpstr>CONSOLE!Print_Area</vt:lpstr>
      <vt:lpstr>LHA!Print_Area</vt:lpstr>
      <vt:lpstr>Payroll23!Print_Area</vt:lpstr>
      <vt:lpstr>Payroll24!Print_Area</vt:lpstr>
      <vt:lpstr>TENANTS!Print_Area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Sasha Savich</dc:creator>
  <cp:lastModifiedBy>David Taylor</cp:lastModifiedBy>
  <cp:lastPrinted>2022-05-19T13:38:36Z</cp:lastPrinted>
  <dcterms:created xsi:type="dcterms:W3CDTF">2020-01-14T09:21:27Z</dcterms:created>
  <dcterms:modified xsi:type="dcterms:W3CDTF">2023-03-14T13:12:33Z</dcterms:modified>
</cp:coreProperties>
</file>