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ouldenhousecoop-my.sharepoint.com/personal/muhamad_gouldenhouse_org/Documents/01 ACCOUNTS/05 REPORTINGS/02 BUDGETS/2023/"/>
    </mc:Choice>
  </mc:AlternateContent>
  <xr:revisionPtr revIDLastSave="546" documentId="8_{F463DFAE-2BEF-4466-ABA3-7EF5C950399D}" xr6:coauthVersionLast="47" xr6:coauthVersionMax="47" xr10:uidLastSave="{F2B8F80B-5C7B-469B-86E5-2D39D358F9D6}"/>
  <bookViews>
    <workbookView xWindow="144" yWindow="36" windowWidth="22896" windowHeight="12324" tabRatio="790" activeTab="1" xr2:uid="{F0DD7D82-09A2-40E0-BEC1-DF04C4E0E9C9}"/>
  </bookViews>
  <sheets>
    <sheet name="CONSOLE" sheetId="13" r:id="rId1"/>
    <sheet name="LHA" sheetId="14" r:id="rId2"/>
    <sheet name="TENANTS" sheetId="15" r:id="rId3"/>
    <sheet name="TB21" sheetId="19" r:id="rId4"/>
    <sheet name="Payroll" sheetId="17" r:id="rId5"/>
    <sheet name="FAR" sheetId="16" r:id="rId6"/>
    <sheet name="WBC OFFER 2022" sheetId="18" r:id="rId7"/>
    <sheet name="21% Split" sheetId="20" r:id="rId8"/>
  </sheets>
  <externalReferences>
    <externalReference r:id="rId9"/>
  </externalReferences>
  <definedNames>
    <definedName name="_xlnm._FilterDatabase" localSheetId="1" hidden="1">LHA!#REF!</definedName>
    <definedName name="_xlnm._FilterDatabase" localSheetId="4" hidden="1">Payroll!$A$1:$U$7</definedName>
    <definedName name="_xlnm.Print_Area" localSheetId="0">CONSOLE!$A$1:$F$45</definedName>
    <definedName name="_xlnm.Print_Area" localSheetId="1">LHA!$A$1:$I$89</definedName>
    <definedName name="_xlnm.Print_Area" localSheetId="4">Payroll!$A$1:$Y$22</definedName>
    <definedName name="_xlnm.Print_Area" localSheetId="2">TENANTS!$A$1:$G$26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13" l="1"/>
  <c r="B30" i="13"/>
  <c r="E24" i="15"/>
  <c r="D24" i="15"/>
  <c r="E88" i="14"/>
  <c r="E89" i="14" s="1"/>
  <c r="D88" i="14"/>
  <c r="D89" i="14" s="1"/>
  <c r="A30" i="13"/>
  <c r="V5" i="17"/>
  <c r="V4" i="17"/>
  <c r="V3" i="17"/>
  <c r="V2" i="17"/>
  <c r="W7" i="17" l="1"/>
  <c r="W18" i="17"/>
  <c r="R2" i="17"/>
  <c r="T2" i="17" s="1"/>
  <c r="S2" i="17" l="1"/>
  <c r="G58" i="14"/>
  <c r="H58" i="14"/>
  <c r="F38" i="14"/>
  <c r="A43" i="13"/>
  <c r="T81" i="20"/>
  <c r="F5" i="20"/>
  <c r="P5" i="20"/>
  <c r="P78" i="20" s="1"/>
  <c r="P81" i="20" s="1"/>
  <c r="W5" i="20"/>
  <c r="F6" i="20"/>
  <c r="W6" i="20" s="1"/>
  <c r="Q6" i="20"/>
  <c r="V6" i="20"/>
  <c r="F7" i="20"/>
  <c r="P7" i="20"/>
  <c r="R7" i="20" s="1"/>
  <c r="V7" i="20"/>
  <c r="W7" i="20" s="1"/>
  <c r="F8" i="20"/>
  <c r="W8" i="20" s="1"/>
  <c r="Q8" i="20"/>
  <c r="V8" i="20"/>
  <c r="F9" i="20"/>
  <c r="Q9" i="20" s="1"/>
  <c r="V9" i="20"/>
  <c r="F10" i="20"/>
  <c r="R10" i="20" s="1"/>
  <c r="P10" i="20"/>
  <c r="V10" i="20"/>
  <c r="W10" i="20"/>
  <c r="F11" i="20"/>
  <c r="O11" i="20" s="1"/>
  <c r="O78" i="20" s="1"/>
  <c r="O81" i="20" s="1"/>
  <c r="F12" i="20"/>
  <c r="R12" i="20" s="1"/>
  <c r="P12" i="20"/>
  <c r="W12" i="20"/>
  <c r="F13" i="20"/>
  <c r="Q13" i="20" s="1"/>
  <c r="F14" i="20"/>
  <c r="W14" i="20" s="1"/>
  <c r="O14" i="20"/>
  <c r="R14" i="20" s="1"/>
  <c r="F15" i="20"/>
  <c r="O15" i="20" s="1"/>
  <c r="F16" i="20"/>
  <c r="W16" i="20" s="1"/>
  <c r="O16" i="20"/>
  <c r="R16" i="20" s="1"/>
  <c r="F18" i="20"/>
  <c r="N18" i="20" s="1"/>
  <c r="F19" i="20"/>
  <c r="N19" i="20"/>
  <c r="W19" i="20"/>
  <c r="F20" i="20"/>
  <c r="N20" i="20" s="1"/>
  <c r="W20" i="20"/>
  <c r="F21" i="20"/>
  <c r="N21" i="20" s="1"/>
  <c r="F22" i="20"/>
  <c r="N22" i="20"/>
  <c r="W22" i="20"/>
  <c r="F23" i="20"/>
  <c r="N23" i="20"/>
  <c r="W23" i="20"/>
  <c r="F24" i="20"/>
  <c r="N24" i="20" s="1"/>
  <c r="W24" i="20"/>
  <c r="F25" i="20"/>
  <c r="W25" i="20" s="1"/>
  <c r="N25" i="20"/>
  <c r="F26" i="20"/>
  <c r="N26" i="20" s="1"/>
  <c r="F27" i="20"/>
  <c r="N27" i="20"/>
  <c r="W27" i="20"/>
  <c r="F28" i="20"/>
  <c r="N28" i="20" s="1"/>
  <c r="W28" i="20"/>
  <c r="F29" i="20"/>
  <c r="N29" i="20" s="1"/>
  <c r="V29" i="20"/>
  <c r="F30" i="20"/>
  <c r="W30" i="20" s="1"/>
  <c r="N30" i="20"/>
  <c r="F31" i="20"/>
  <c r="N31" i="20" s="1"/>
  <c r="F32" i="20"/>
  <c r="N32" i="20"/>
  <c r="W32" i="20"/>
  <c r="F33" i="20"/>
  <c r="N33" i="20" s="1"/>
  <c r="W33" i="20"/>
  <c r="F34" i="20"/>
  <c r="W34" i="20" s="1"/>
  <c r="N34" i="20"/>
  <c r="W35" i="20"/>
  <c r="F36" i="20"/>
  <c r="R36" i="20" s="1"/>
  <c r="O36" i="20"/>
  <c r="W36" i="20"/>
  <c r="F37" i="20"/>
  <c r="O37" i="20" s="1"/>
  <c r="F38" i="20"/>
  <c r="R38" i="20" s="1"/>
  <c r="O38" i="20"/>
  <c r="W38" i="20"/>
  <c r="F39" i="20"/>
  <c r="O39" i="20" s="1"/>
  <c r="F40" i="20"/>
  <c r="R40" i="20" s="1"/>
  <c r="O40" i="20"/>
  <c r="W40" i="20"/>
  <c r="F41" i="20"/>
  <c r="O41" i="20" s="1"/>
  <c r="F42" i="20"/>
  <c r="R42" i="20" s="1"/>
  <c r="O42" i="20"/>
  <c r="W42" i="20"/>
  <c r="F43" i="20"/>
  <c r="O43" i="20" s="1"/>
  <c r="F44" i="20"/>
  <c r="R44" i="20" s="1"/>
  <c r="O44" i="20"/>
  <c r="W44" i="20"/>
  <c r="F45" i="20"/>
  <c r="O45" i="20" s="1"/>
  <c r="F46" i="20"/>
  <c r="R46" i="20" s="1"/>
  <c r="O46" i="20"/>
  <c r="W46" i="20"/>
  <c r="F47" i="20"/>
  <c r="O47" i="20" s="1"/>
  <c r="F48" i="20"/>
  <c r="R48" i="20" s="1"/>
  <c r="O48" i="20"/>
  <c r="W48" i="20"/>
  <c r="F49" i="20"/>
  <c r="O49" i="20" s="1"/>
  <c r="F50" i="20"/>
  <c r="R50" i="20" s="1"/>
  <c r="O50" i="20"/>
  <c r="W50" i="20"/>
  <c r="F51" i="20"/>
  <c r="O51" i="20" s="1"/>
  <c r="F52" i="20"/>
  <c r="R52" i="20" s="1"/>
  <c r="O52" i="20"/>
  <c r="W52" i="20"/>
  <c r="F53" i="20"/>
  <c r="O53" i="20" s="1"/>
  <c r="F54" i="20"/>
  <c r="R54" i="20" s="1"/>
  <c r="O54" i="20"/>
  <c r="W54" i="20"/>
  <c r="F55" i="20"/>
  <c r="O55" i="20" s="1"/>
  <c r="F56" i="20"/>
  <c r="R56" i="20" s="1"/>
  <c r="O56" i="20"/>
  <c r="W56" i="20"/>
  <c r="F57" i="20"/>
  <c r="O57" i="20" s="1"/>
  <c r="F58" i="20"/>
  <c r="F59" i="20"/>
  <c r="O59" i="20" s="1"/>
  <c r="R59" i="20" s="1"/>
  <c r="F60" i="20"/>
  <c r="O60" i="20" s="1"/>
  <c r="R60" i="20" s="1"/>
  <c r="W60" i="20"/>
  <c r="F61" i="20"/>
  <c r="O61" i="20" s="1"/>
  <c r="R61" i="20" s="1"/>
  <c r="F62" i="20"/>
  <c r="O62" i="20" s="1"/>
  <c r="R62" i="20" s="1"/>
  <c r="W62" i="20"/>
  <c r="F63" i="20"/>
  <c r="O63" i="20" s="1"/>
  <c r="R63" i="20" s="1"/>
  <c r="F64" i="20"/>
  <c r="O64" i="20" s="1"/>
  <c r="W64" i="20"/>
  <c r="F65" i="20"/>
  <c r="W65" i="20"/>
  <c r="F66" i="20"/>
  <c r="F67" i="20"/>
  <c r="S67" i="20" s="1"/>
  <c r="F68" i="20"/>
  <c r="S68" i="20" s="1"/>
  <c r="F69" i="20"/>
  <c r="S69" i="20"/>
  <c r="F70" i="20"/>
  <c r="S70" i="20" s="1"/>
  <c r="F71" i="20"/>
  <c r="S71" i="20" s="1"/>
  <c r="F72" i="20"/>
  <c r="F73" i="20"/>
  <c r="O73" i="20"/>
  <c r="R73" i="20" s="1"/>
  <c r="W73" i="20"/>
  <c r="F74" i="20"/>
  <c r="F75" i="20"/>
  <c r="S75" i="20"/>
  <c r="F76" i="20"/>
  <c r="W76" i="20" s="1"/>
  <c r="S78" i="20" l="1"/>
  <c r="N78" i="20"/>
  <c r="Q78" i="20"/>
  <c r="Q81" i="20" s="1"/>
  <c r="W55" i="20"/>
  <c r="W47" i="20"/>
  <c r="W43" i="20"/>
  <c r="W39" i="20"/>
  <c r="W11" i="20"/>
  <c r="W51" i="20"/>
  <c r="W29" i="20"/>
  <c r="R57" i="20"/>
  <c r="R55" i="20"/>
  <c r="R53" i="20"/>
  <c r="R51" i="20"/>
  <c r="R49" i="20"/>
  <c r="R47" i="20"/>
  <c r="R45" i="20"/>
  <c r="R43" i="20"/>
  <c r="R41" i="20"/>
  <c r="R39" i="20"/>
  <c r="R37" i="20"/>
  <c r="W21" i="20"/>
  <c r="W15" i="20"/>
  <c r="W13" i="20"/>
  <c r="R11" i="20"/>
  <c r="W9" i="20"/>
  <c r="F78" i="20"/>
  <c r="W57" i="20"/>
  <c r="W53" i="20"/>
  <c r="W49" i="20"/>
  <c r="W45" i="20"/>
  <c r="W41" i="20"/>
  <c r="W37" i="20"/>
  <c r="W31" i="20"/>
  <c r="W26" i="20"/>
  <c r="W18" i="20"/>
  <c r="R15" i="20"/>
  <c r="W63" i="20"/>
  <c r="W61" i="20"/>
  <c r="W59" i="20"/>
  <c r="R5" i="20"/>
  <c r="G42" i="14"/>
  <c r="H42" i="14"/>
  <c r="F84" i="14"/>
  <c r="H84" i="14" s="1"/>
  <c r="F55" i="14"/>
  <c r="H55" i="14" s="1"/>
  <c r="E36" i="14"/>
  <c r="E35" i="14"/>
  <c r="H3" i="14"/>
  <c r="E3" i="14"/>
  <c r="E9" i="14" s="1"/>
  <c r="F3" i="14"/>
  <c r="F34" i="14" s="1"/>
  <c r="G3" i="14"/>
  <c r="G54" i="14" s="1"/>
  <c r="D3" i="14"/>
  <c r="H85" i="14"/>
  <c r="G85" i="14"/>
  <c r="H83" i="14"/>
  <c r="G83" i="14"/>
  <c r="H82" i="14"/>
  <c r="G82" i="14"/>
  <c r="E81" i="14"/>
  <c r="G81" i="14" s="1"/>
  <c r="H80" i="14"/>
  <c r="G80" i="14"/>
  <c r="E79" i="14"/>
  <c r="H79" i="14" s="1"/>
  <c r="H78" i="14"/>
  <c r="G78" i="14"/>
  <c r="H77" i="14"/>
  <c r="G77" i="14"/>
  <c r="H76" i="14"/>
  <c r="H75" i="14"/>
  <c r="G75" i="14"/>
  <c r="H74" i="14"/>
  <c r="G74" i="14"/>
  <c r="H73" i="14"/>
  <c r="G73" i="14"/>
  <c r="H72" i="14"/>
  <c r="G72" i="14"/>
  <c r="H71" i="14"/>
  <c r="G71" i="14"/>
  <c r="H70" i="14"/>
  <c r="G70" i="14"/>
  <c r="H69" i="14"/>
  <c r="G69" i="14"/>
  <c r="H68" i="14"/>
  <c r="G68" i="14"/>
  <c r="H67" i="14"/>
  <c r="G67" i="14"/>
  <c r="H65" i="14"/>
  <c r="G65" i="14"/>
  <c r="H64" i="14"/>
  <c r="G64" i="14"/>
  <c r="H63" i="14"/>
  <c r="G63" i="14"/>
  <c r="H62" i="14"/>
  <c r="G62" i="14"/>
  <c r="H61" i="14"/>
  <c r="G61" i="14"/>
  <c r="H60" i="14"/>
  <c r="G60" i="14"/>
  <c r="H56" i="14"/>
  <c r="G56" i="14"/>
  <c r="H49" i="14"/>
  <c r="G49" i="14"/>
  <c r="H48" i="14"/>
  <c r="G48" i="14"/>
  <c r="H47" i="14"/>
  <c r="G47" i="14"/>
  <c r="H46" i="14"/>
  <c r="G46" i="14"/>
  <c r="H45" i="14"/>
  <c r="G45" i="14"/>
  <c r="H44" i="14"/>
  <c r="G44" i="14"/>
  <c r="H43" i="14"/>
  <c r="G43" i="14"/>
  <c r="H40" i="14"/>
  <c r="H38" i="14"/>
  <c r="H31" i="14"/>
  <c r="G31" i="14"/>
  <c r="H30" i="14"/>
  <c r="G30" i="14"/>
  <c r="H29" i="14"/>
  <c r="G29" i="14"/>
  <c r="H28" i="14"/>
  <c r="G28" i="14"/>
  <c r="E27" i="14"/>
  <c r="G27" i="14" s="1"/>
  <c r="H26" i="14"/>
  <c r="G26" i="14"/>
  <c r="U12" i="15" s="1"/>
  <c r="H25" i="14"/>
  <c r="G25" i="14"/>
  <c r="H24" i="14"/>
  <c r="G24" i="14"/>
  <c r="U11" i="15" s="1"/>
  <c r="H23" i="14"/>
  <c r="G23" i="14"/>
  <c r="U10" i="15" s="1"/>
  <c r="H22" i="14"/>
  <c r="G22" i="14"/>
  <c r="H21" i="14"/>
  <c r="G21" i="14"/>
  <c r="H20" i="14"/>
  <c r="G20" i="14"/>
  <c r="H19" i="14"/>
  <c r="G19" i="14"/>
  <c r="H18" i="14"/>
  <c r="G18" i="14"/>
  <c r="H17" i="14"/>
  <c r="G17" i="14"/>
  <c r="H16" i="14"/>
  <c r="G16" i="14"/>
  <c r="E15" i="14"/>
  <c r="H15" i="14" s="1"/>
  <c r="E14" i="14"/>
  <c r="H14" i="14" s="1"/>
  <c r="H13" i="14"/>
  <c r="G13" i="14"/>
  <c r="U7" i="15" s="1"/>
  <c r="H12" i="14"/>
  <c r="G12" i="14"/>
  <c r="U6" i="15" s="1"/>
  <c r="H11" i="14"/>
  <c r="G11" i="14"/>
  <c r="U5" i="15" s="1"/>
  <c r="E8" i="14"/>
  <c r="E20" i="15"/>
  <c r="F18" i="15"/>
  <c r="F22" i="15" s="1"/>
  <c r="E18" i="15"/>
  <c r="E17" i="15"/>
  <c r="E16" i="15"/>
  <c r="G15" i="15"/>
  <c r="G14" i="15"/>
  <c r="E14" i="15"/>
  <c r="E22" i="15" s="1"/>
  <c r="G22" i="15" s="1"/>
  <c r="E12" i="15"/>
  <c r="F8" i="15"/>
  <c r="E8" i="15"/>
  <c r="G8" i="15" s="1"/>
  <c r="G7" i="15"/>
  <c r="F7" i="15"/>
  <c r="E7" i="15"/>
  <c r="G6" i="15"/>
  <c r="F6" i="15"/>
  <c r="F12" i="15" s="1"/>
  <c r="E6" i="15"/>
  <c r="F5" i="15"/>
  <c r="E5" i="15"/>
  <c r="G5" i="15" s="1"/>
  <c r="F4" i="15"/>
  <c r="E4" i="15"/>
  <c r="R4" i="15" s="1"/>
  <c r="G3" i="15"/>
  <c r="G13" i="15" s="1"/>
  <c r="F3" i="15"/>
  <c r="F13" i="15" s="1"/>
  <c r="E3" i="15"/>
  <c r="E13" i="15" s="1"/>
  <c r="D3" i="15"/>
  <c r="D13" i="15" s="1"/>
  <c r="D4" i="15"/>
  <c r="D5" i="15"/>
  <c r="D6" i="15"/>
  <c r="D7" i="15"/>
  <c r="D8" i="15"/>
  <c r="D12" i="15"/>
  <c r="D14" i="15"/>
  <c r="D22" i="15" s="1"/>
  <c r="D15" i="15"/>
  <c r="D18" i="15"/>
  <c r="P18" i="15"/>
  <c r="P20" i="15"/>
  <c r="P15" i="15"/>
  <c r="P9" i="15"/>
  <c r="R9" i="15"/>
  <c r="P10" i="15"/>
  <c r="R10" i="15"/>
  <c r="P11" i="15"/>
  <c r="R11" i="15"/>
  <c r="P17" i="15"/>
  <c r="P19" i="15"/>
  <c r="P21" i="15"/>
  <c r="N12" i="17"/>
  <c r="P12" i="17" s="1"/>
  <c r="N11" i="17"/>
  <c r="P11" i="17" s="1"/>
  <c r="R5" i="17"/>
  <c r="F5" i="17"/>
  <c r="H5" i="17" s="1"/>
  <c r="I5" i="17" s="1"/>
  <c r="R3" i="17"/>
  <c r="F3" i="17"/>
  <c r="H3" i="17" s="1"/>
  <c r="I3" i="17" s="1"/>
  <c r="R4" i="17"/>
  <c r="F4" i="17"/>
  <c r="H4" i="17" s="1"/>
  <c r="I4" i="17" s="1"/>
  <c r="F2" i="17"/>
  <c r="H2" i="17" s="1"/>
  <c r="I2" i="17" s="1"/>
  <c r="J2" i="17" s="1"/>
  <c r="B6" i="16"/>
  <c r="S4" i="17" l="1"/>
  <c r="P4" i="17" s="1"/>
  <c r="T4" i="17"/>
  <c r="S3" i="17"/>
  <c r="T3" i="17"/>
  <c r="S5" i="17"/>
  <c r="T5" i="17"/>
  <c r="Q5" i="17" s="1"/>
  <c r="V13" i="17"/>
  <c r="X13" i="17" s="1"/>
  <c r="N4" i="17"/>
  <c r="Q4" i="17"/>
  <c r="V10" i="17"/>
  <c r="F35" i="14" s="1"/>
  <c r="R78" i="20"/>
  <c r="S82" i="20" s="1"/>
  <c r="N81" i="20"/>
  <c r="G55" i="14"/>
  <c r="G84" i="14"/>
  <c r="E86" i="14"/>
  <c r="E32" i="14"/>
  <c r="E50" i="14"/>
  <c r="E54" i="14"/>
  <c r="G9" i="14"/>
  <c r="G79" i="14"/>
  <c r="F9" i="14"/>
  <c r="H27" i="14"/>
  <c r="G34" i="14"/>
  <c r="H81" i="14"/>
  <c r="G14" i="14"/>
  <c r="F54" i="14"/>
  <c r="G76" i="14"/>
  <c r="G40" i="14"/>
  <c r="G15" i="14"/>
  <c r="E34" i="14"/>
  <c r="G38" i="14"/>
  <c r="G4" i="15"/>
  <c r="P14" i="15"/>
  <c r="R5" i="15"/>
  <c r="P4" i="15"/>
  <c r="Q22" i="15"/>
  <c r="P22" i="15" s="1"/>
  <c r="R6" i="15"/>
  <c r="P5" i="15"/>
  <c r="R7" i="15"/>
  <c r="P6" i="15"/>
  <c r="R8" i="15"/>
  <c r="P7" i="15"/>
  <c r="P8" i="15"/>
  <c r="J5" i="17"/>
  <c r="J4" i="17"/>
  <c r="J3" i="17"/>
  <c r="K2" i="17"/>
  <c r="U2" i="17" s="1"/>
  <c r="N5" i="17"/>
  <c r="R7" i="17"/>
  <c r="O4" i="17"/>
  <c r="O5" i="17"/>
  <c r="N2" i="17"/>
  <c r="K3" i="17"/>
  <c r="O2" i="17"/>
  <c r="N3" i="17"/>
  <c r="V11" i="17"/>
  <c r="X11" i="17" s="1"/>
  <c r="O3" i="17"/>
  <c r="K4" i="17"/>
  <c r="K5" i="17"/>
  <c r="F40" i="13"/>
  <c r="F25" i="13"/>
  <c r="E40" i="13"/>
  <c r="D46" i="14"/>
  <c r="D41" i="14"/>
  <c r="D38" i="14"/>
  <c r="D39" i="14"/>
  <c r="D36" i="14"/>
  <c r="D37" i="14" s="1"/>
  <c r="S7" i="17" l="1"/>
  <c r="T7" i="17"/>
  <c r="P5" i="17"/>
  <c r="V14" i="17"/>
  <c r="X14" i="17" s="1"/>
  <c r="V7" i="17"/>
  <c r="Q3" i="17"/>
  <c r="F39" i="14"/>
  <c r="H39" i="14" s="1"/>
  <c r="F36" i="14"/>
  <c r="H35" i="14"/>
  <c r="G35" i="14"/>
  <c r="S81" i="20"/>
  <c r="S83" i="20" s="1"/>
  <c r="E51" i="14"/>
  <c r="U8" i="15"/>
  <c r="U9" i="15"/>
  <c r="R12" i="15"/>
  <c r="X2" i="17"/>
  <c r="L5" i="17"/>
  <c r="M5" i="17"/>
  <c r="L4" i="17"/>
  <c r="M4" i="17"/>
  <c r="X10" i="17"/>
  <c r="Q2" i="17"/>
  <c r="U3" i="17"/>
  <c r="V12" i="17"/>
  <c r="X12" i="17" s="1"/>
  <c r="P2" i="17"/>
  <c r="V15" i="17"/>
  <c r="P3" i="17"/>
  <c r="L2" i="17"/>
  <c r="M2" i="17"/>
  <c r="U4" i="17"/>
  <c r="M3" i="17"/>
  <c r="L3" i="17"/>
  <c r="U5" i="17"/>
  <c r="E23" i="15" l="1"/>
  <c r="G23" i="15" s="1"/>
  <c r="X4" i="17"/>
  <c r="U7" i="17"/>
  <c r="V19" i="17" s="1"/>
  <c r="V16" i="17"/>
  <c r="X16" i="17" s="1"/>
  <c r="F41" i="14"/>
  <c r="G41" i="14" s="1"/>
  <c r="X15" i="17"/>
  <c r="G39" i="14"/>
  <c r="G36" i="14"/>
  <c r="H36" i="14"/>
  <c r="E52" i="14"/>
  <c r="U13" i="15"/>
  <c r="X3" i="17"/>
  <c r="V17" i="17"/>
  <c r="X17" i="17" s="1"/>
  <c r="X5" i="17"/>
  <c r="D35" i="14"/>
  <c r="D85" i="14"/>
  <c r="D84" i="14"/>
  <c r="D82" i="14"/>
  <c r="D79" i="14"/>
  <c r="D77" i="14"/>
  <c r="D76" i="14"/>
  <c r="D71" i="14"/>
  <c r="D69" i="14"/>
  <c r="D66" i="14"/>
  <c r="F66" i="14" s="1"/>
  <c r="D65" i="14"/>
  <c r="D64" i="14"/>
  <c r="D62" i="14"/>
  <c r="D61" i="14"/>
  <c r="D60" i="14"/>
  <c r="D59" i="14"/>
  <c r="F59" i="14" s="1"/>
  <c r="D56" i="14"/>
  <c r="D57" i="14"/>
  <c r="F57" i="14" s="1"/>
  <c r="D55" i="14"/>
  <c r="D30" i="14"/>
  <c r="D28" i="14"/>
  <c r="D27" i="14"/>
  <c r="D26" i="14"/>
  <c r="D23" i="14"/>
  <c r="D20" i="14"/>
  <c r="D19" i="14"/>
  <c r="D21" i="14"/>
  <c r="D13" i="14"/>
  <c r="D12" i="14"/>
  <c r="D11" i="14"/>
  <c r="D10" i="14"/>
  <c r="F10" i="14" s="1"/>
  <c r="D6" i="14"/>
  <c r="F6" i="14" s="1"/>
  <c r="D7" i="14"/>
  <c r="F7" i="14" s="1"/>
  <c r="D5" i="14"/>
  <c r="F5" i="14" s="1"/>
  <c r="H10" i="14" l="1"/>
  <c r="F32" i="14"/>
  <c r="H32" i="14" s="1"/>
  <c r="G10" i="14"/>
  <c r="G32" i="14" s="1"/>
  <c r="V18" i="17"/>
  <c r="V20" i="17" s="1"/>
  <c r="X7" i="17"/>
  <c r="H41" i="14"/>
  <c r="X18" i="17"/>
  <c r="P13" i="17"/>
  <c r="F86" i="14"/>
  <c r="G57" i="14"/>
  <c r="H57" i="14"/>
  <c r="H59" i="14"/>
  <c r="G59" i="14"/>
  <c r="H66" i="14"/>
  <c r="G66" i="14"/>
  <c r="E87" i="14"/>
  <c r="H5" i="14"/>
  <c r="G5" i="14"/>
  <c r="G7" i="14"/>
  <c r="H7" i="14"/>
  <c r="G6" i="14"/>
  <c r="H6" i="14"/>
  <c r="D4" i="14"/>
  <c r="F4" i="14" s="1"/>
  <c r="P14" i="17" l="1"/>
  <c r="P15" i="17" s="1"/>
  <c r="F37" i="14" s="1"/>
  <c r="G86" i="14"/>
  <c r="H86" i="14"/>
  <c r="F8" i="14"/>
  <c r="H4" i="14"/>
  <c r="G4" i="14"/>
  <c r="G8" i="14" s="1"/>
  <c r="D6" i="13"/>
  <c r="D26" i="13"/>
  <c r="D9" i="13" s="1"/>
  <c r="D37" i="13"/>
  <c r="D22" i="13"/>
  <c r="C43" i="13" l="1"/>
  <c r="G37" i="14"/>
  <c r="G50" i="14" s="1"/>
  <c r="G51" i="14" s="1"/>
  <c r="G52" i="14" s="1"/>
  <c r="F50" i="14"/>
  <c r="D10" i="13" s="1"/>
  <c r="H37" i="14"/>
  <c r="E25" i="15"/>
  <c r="E26" i="15" s="1"/>
  <c r="G26" i="15" s="1"/>
  <c r="D28" i="13"/>
  <c r="D13" i="13" s="1"/>
  <c r="D38" i="13"/>
  <c r="D42" i="13"/>
  <c r="D14" i="13"/>
  <c r="H50" i="14" l="1"/>
  <c r="F51" i="14"/>
  <c r="G25" i="15"/>
  <c r="D39" i="13"/>
  <c r="D34" i="14"/>
  <c r="F52" i="14" l="1"/>
  <c r="D27" i="13" s="1"/>
  <c r="D29" i="13" s="1"/>
  <c r="D11" i="13"/>
  <c r="D12" i="13" s="1"/>
  <c r="H51" i="14"/>
  <c r="F23" i="15"/>
  <c r="F87" i="14"/>
  <c r="F88" i="14" s="1"/>
  <c r="H52" i="14"/>
  <c r="F89" i="14" l="1"/>
  <c r="F24" i="15"/>
  <c r="H87" i="14"/>
  <c r="G87" i="14"/>
  <c r="F25" i="15"/>
  <c r="F26" i="15" s="1"/>
  <c r="H89" i="14"/>
  <c r="M6" i="14"/>
  <c r="M5" i="14"/>
  <c r="M4" i="14"/>
  <c r="M7" i="14"/>
  <c r="G89" i="14" l="1"/>
  <c r="D43" i="13"/>
  <c r="D30" i="13" s="1"/>
  <c r="G88" i="14"/>
  <c r="H88" i="14"/>
  <c r="M31" i="14"/>
  <c r="E30" i="13" l="1"/>
  <c r="F30" i="13"/>
  <c r="E43" i="13"/>
  <c r="F43" i="13"/>
  <c r="E37" i="13"/>
  <c r="E22" i="13"/>
  <c r="D32" i="14" l="1"/>
  <c r="B38" i="13" l="1"/>
  <c r="C38" i="13"/>
  <c r="C6" i="13"/>
  <c r="B6" i="13"/>
  <c r="F17" i="13"/>
  <c r="F18" i="13"/>
  <c r="F19" i="13"/>
  <c r="F20" i="13"/>
  <c r="F21" i="13"/>
  <c r="F32" i="13"/>
  <c r="F33" i="13"/>
  <c r="F34" i="13"/>
  <c r="F35" i="13"/>
  <c r="F36" i="13"/>
  <c r="E38" i="13" l="1"/>
  <c r="F38" i="13"/>
  <c r="F6" i="13"/>
  <c r="E6" i="13"/>
  <c r="D86" i="14" l="1"/>
  <c r="D50" i="14"/>
  <c r="B14" i="13" l="1"/>
  <c r="D51" i="14"/>
  <c r="B10" i="13"/>
  <c r="B11" i="13" l="1"/>
  <c r="B12" i="13" s="1"/>
  <c r="D23" i="15"/>
  <c r="D5" i="13"/>
  <c r="D23" i="13"/>
  <c r="D15" i="13"/>
  <c r="M8" i="14"/>
  <c r="S12" i="15" s="1"/>
  <c r="C5" i="13"/>
  <c r="C7" i="13" s="1"/>
  <c r="D52" i="14"/>
  <c r="Q23" i="15" l="1"/>
  <c r="P23" i="15" s="1"/>
  <c r="D24" i="13"/>
  <c r="D31" i="13" s="1"/>
  <c r="F5" i="13"/>
  <c r="D7" i="13"/>
  <c r="F7" i="13" s="1"/>
  <c r="E5" i="13"/>
  <c r="D41" i="13"/>
  <c r="D44" i="13" s="1"/>
  <c r="D45" i="13" s="1"/>
  <c r="P7" i="13"/>
  <c r="D87" i="14"/>
  <c r="D25" i="15" l="1"/>
  <c r="D16" i="13"/>
  <c r="E7" i="13"/>
  <c r="A20" i="13"/>
  <c r="A35" i="13" s="1"/>
  <c r="C37" i="13"/>
  <c r="B37" i="13"/>
  <c r="C22" i="13"/>
  <c r="B22" i="13"/>
  <c r="D54" i="14"/>
  <c r="D9" i="14"/>
  <c r="D26" i="15" l="1"/>
  <c r="Q26" i="15" s="1"/>
  <c r="P26" i="15" s="1"/>
  <c r="B43" i="13"/>
  <c r="Q25" i="15"/>
  <c r="P25" i="15" s="1"/>
  <c r="C14" i="13"/>
  <c r="F22" i="13"/>
  <c r="F37" i="13"/>
  <c r="C42" i="13"/>
  <c r="F42" i="13" l="1"/>
  <c r="E42" i="13"/>
  <c r="F14" i="13"/>
  <c r="E14" i="13"/>
  <c r="C28" i="13"/>
  <c r="C13" i="13" s="1"/>
  <c r="C26" i="13"/>
  <c r="C9" i="13" s="1"/>
  <c r="C23" i="13"/>
  <c r="B42" i="13"/>
  <c r="B28" i="13"/>
  <c r="B13" i="13" s="1"/>
  <c r="B26" i="13"/>
  <c r="B9" i="13" s="1"/>
  <c r="B15" i="13" s="1"/>
  <c r="E23" i="13" l="1"/>
  <c r="F23" i="13"/>
  <c r="F9" i="13"/>
  <c r="E9" i="13"/>
  <c r="F26" i="13"/>
  <c r="E26" i="13"/>
  <c r="F13" i="13"/>
  <c r="E13" i="13"/>
  <c r="E28" i="13"/>
  <c r="F28" i="13"/>
  <c r="C24" i="13" l="1"/>
  <c r="B27" i="13"/>
  <c r="B29" i="13" s="1"/>
  <c r="E24" i="13" l="1"/>
  <c r="F24" i="13"/>
  <c r="B39" i="13" l="1"/>
  <c r="C39" i="13" l="1"/>
  <c r="F39" i="13" l="1"/>
  <c r="E39" i="13"/>
  <c r="D8" i="14" l="1"/>
  <c r="B5" i="13" l="1"/>
  <c r="B7" i="13" s="1"/>
  <c r="B16" i="13" s="1"/>
  <c r="B23" i="13"/>
  <c r="B24" i="13" s="1"/>
  <c r="B31" i="13" s="1"/>
  <c r="C10" i="13" l="1"/>
  <c r="C27" i="13" l="1"/>
  <c r="C29" i="13" s="1"/>
  <c r="C31" i="13" s="1"/>
  <c r="C11" i="13"/>
  <c r="C12" i="13" s="1"/>
  <c r="F10" i="13"/>
  <c r="C15" i="13"/>
  <c r="E10" i="13"/>
  <c r="C16" i="13" l="1"/>
  <c r="Q16" i="13"/>
  <c r="F15" i="13"/>
  <c r="E15" i="13"/>
  <c r="F12" i="13"/>
  <c r="E12" i="13"/>
  <c r="F27" i="13"/>
  <c r="E27" i="13"/>
  <c r="C41" i="13"/>
  <c r="C44" i="13" s="1"/>
  <c r="C45" i="13" s="1"/>
  <c r="F11" i="13"/>
  <c r="E11" i="13"/>
  <c r="E41" i="13" l="1"/>
  <c r="F41" i="13"/>
  <c r="F29" i="13"/>
  <c r="E29" i="13"/>
  <c r="E31" i="13" s="1"/>
  <c r="P16" i="13"/>
  <c r="F16" i="13"/>
  <c r="E16" i="13"/>
  <c r="F31" i="13" l="1"/>
  <c r="P31" i="13"/>
  <c r="F44" i="13"/>
  <c r="E44" i="13"/>
  <c r="E45" i="13" s="1"/>
  <c r="P45" i="13" l="1"/>
  <c r="F45" i="13"/>
  <c r="B41" i="13" l="1"/>
  <c r="B44" i="13" l="1"/>
  <c r="B45" i="13" s="1"/>
  <c r="G4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tc={DEE50EBF-A526-476E-A086-10E8CF27BC77}</author>
  </authors>
  <commentList>
    <comment ref="K25" authorId="0" shapeId="0" xr:uid="{DEE50EBF-A526-476E-A086-10E8CF27BC77}">
      <text>
        <t>[Threaded comment]
Your version of Excel allows you to read this threaded comment; however, any edits to it will get removed if the file is opened in a newer version of Excel. Learn more: https://go.microsoft.com/fwlink/?linkid=870924
Comment:
    Represents cost of keys sold - separate income recorded, not a service chargeable item</t>
      </text>
    </comment>
  </commentList>
</comments>
</file>

<file path=xl/sharedStrings.xml><?xml version="1.0" encoding="utf-8"?>
<sst xmlns="http://schemas.openxmlformats.org/spreadsheetml/2006/main" count="799" uniqueCount="614">
  <si>
    <t>Goulden House Co-Operative Ltd</t>
  </si>
  <si>
    <t>Codes</t>
  </si>
  <si>
    <t>Management allowance</t>
  </si>
  <si>
    <t>4000/4010</t>
  </si>
  <si>
    <t>Repair allowance</t>
  </si>
  <si>
    <t>4003/4010</t>
  </si>
  <si>
    <t>Estate cost allowance</t>
  </si>
  <si>
    <t>4005/4010</t>
  </si>
  <si>
    <t>Insurance allowance</t>
  </si>
  <si>
    <t>4006/4010</t>
  </si>
  <si>
    <t xml:space="preserve">Block repairs and maintenance </t>
  </si>
  <si>
    <t>Communal electricity</t>
  </si>
  <si>
    <t>Block repairs - labour</t>
  </si>
  <si>
    <t>ROOF &amp; BALCONY REPAIRS</t>
  </si>
  <si>
    <t>Pest control</t>
  </si>
  <si>
    <t>Estate lighting materials</t>
  </si>
  <si>
    <t>Estate lighting labour</t>
  </si>
  <si>
    <t>Vandalism</t>
  </si>
  <si>
    <t>Insurance claim repairs</t>
  </si>
  <si>
    <t>Rechargeable repairs</t>
  </si>
  <si>
    <t>Entryphone keys (KABA)</t>
  </si>
  <si>
    <t>Emergency patrol contract</t>
  </si>
  <si>
    <t>Block cleaning materials</t>
  </si>
  <si>
    <t>Block tools</t>
  </si>
  <si>
    <t>Block repairs - materials</t>
  </si>
  <si>
    <t>CCTV Maintenance</t>
  </si>
  <si>
    <t>Garden maintenance</t>
  </si>
  <si>
    <t>Ball park repairs</t>
  </si>
  <si>
    <t>Bulk rubbish collection</t>
  </si>
  <si>
    <t>Total block repairs and maintenance cost</t>
  </si>
  <si>
    <t>Staffing</t>
  </si>
  <si>
    <t>Gross staff salary - office</t>
  </si>
  <si>
    <t>Staff national insurance - office</t>
  </si>
  <si>
    <t>Pension contribution - office</t>
  </si>
  <si>
    <t xml:space="preserve">Staff recruitment </t>
  </si>
  <si>
    <t>Staff cover - office</t>
  </si>
  <si>
    <t>Accountancy</t>
  </si>
  <si>
    <t>Staff training</t>
  </si>
  <si>
    <t>Staff subs and travel</t>
  </si>
  <si>
    <t xml:space="preserve">Consultancy </t>
  </si>
  <si>
    <t>Total Staffing Cost</t>
  </si>
  <si>
    <t>Tenant only cost (21% as specified by WBC)</t>
  </si>
  <si>
    <t>Total rechargeable amount</t>
  </si>
  <si>
    <t>Management and Services</t>
  </si>
  <si>
    <t>Office rent</t>
  </si>
  <si>
    <t>Insurance policies</t>
  </si>
  <si>
    <t>Subscription fees</t>
  </si>
  <si>
    <t>Office electricity</t>
  </si>
  <si>
    <t>Office equipment</t>
  </si>
  <si>
    <t>Document distribution</t>
  </si>
  <si>
    <t>Photocopier expenses (toner)</t>
  </si>
  <si>
    <t>Photocopier contract and usage</t>
  </si>
  <si>
    <t>Office security</t>
  </si>
  <si>
    <t>Domain name, hosting, Office 365</t>
  </si>
  <si>
    <t>IT support, backup and security</t>
  </si>
  <si>
    <t>Committee subsistence</t>
  </si>
  <si>
    <t>Committee travel/child care</t>
  </si>
  <si>
    <t>Sundries</t>
  </si>
  <si>
    <t>Community events</t>
  </si>
  <si>
    <t>Depreciations</t>
  </si>
  <si>
    <t>Bank Charges</t>
  </si>
  <si>
    <t>Annual returns</t>
  </si>
  <si>
    <t>Audit fees</t>
  </si>
  <si>
    <t>Legal fees</t>
  </si>
  <si>
    <t>Committee training</t>
  </si>
  <si>
    <t>HR Services</t>
  </si>
  <si>
    <t>Corporation tax</t>
  </si>
  <si>
    <t xml:space="preserve">Contingency Fund </t>
  </si>
  <si>
    <t>Total Management and service cost</t>
  </si>
  <si>
    <t>Description</t>
  </si>
  <si>
    <t>Management allowance - non residential only</t>
  </si>
  <si>
    <t>Repairs allowance</t>
  </si>
  <si>
    <t>Administration</t>
  </si>
  <si>
    <t>Client cost allowance</t>
  </si>
  <si>
    <t xml:space="preserve">Total income </t>
  </si>
  <si>
    <t>Tenant repairs - labour</t>
  </si>
  <si>
    <t>Tenant repairs - materials</t>
  </si>
  <si>
    <t>Store shed repairs - materials</t>
  </si>
  <si>
    <t>Store shed repair - labour</t>
  </si>
  <si>
    <t xml:space="preserve">Void property </t>
  </si>
  <si>
    <t>Bank charges (for rent account)</t>
  </si>
  <si>
    <t xml:space="preserve"> INCOME Leaseholders</t>
  </si>
  <si>
    <t>INCOME Tenants</t>
  </si>
  <si>
    <t>TOTAL INCOME Leaseholders &amp; Tenants</t>
  </si>
  <si>
    <t>EXPENDITURE</t>
  </si>
  <si>
    <t>TOTAL SURPLUS/(DEFICIT)</t>
  </si>
  <si>
    <t>TOTAL INCOME</t>
  </si>
  <si>
    <t>Total Leaseholder (rechargeable) amount</t>
  </si>
  <si>
    <t>TOTAL EXPENDITURE Leaseholders &amp; Tenants</t>
  </si>
  <si>
    <t>Total Staffing Cost - Leaseholder % ONLY Total rechargeable amount</t>
  </si>
  <si>
    <t>TOTAL INCOME Leaseholders</t>
  </si>
  <si>
    <t>TOTAL EXPENDITURE Leaseholders</t>
  </si>
  <si>
    <t>TOTAL INCOME Tenants</t>
  </si>
  <si>
    <t>Total Staffing Cost -Tenant only cost (21% as specified by WBC)</t>
  </si>
  <si>
    <t>TOTAL EXPENDITURE Tenants</t>
  </si>
  <si>
    <t>Total Tenant (NOT SERVICE CHARGEABLE)</t>
  </si>
  <si>
    <t>Total Tenants costs EXCLUDING Staffing Costs</t>
  </si>
  <si>
    <t>Name</t>
  </si>
  <si>
    <t>Post</t>
  </si>
  <si>
    <t>Working Day</t>
  </si>
  <si>
    <t>From</t>
  </si>
  <si>
    <t>To</t>
  </si>
  <si>
    <t>Hours Per Day</t>
  </si>
  <si>
    <t>Lunch Time (hour)</t>
  </si>
  <si>
    <t>Net Hours Per Day</t>
  </si>
  <si>
    <t xml:space="preserve">Net Hours Per Week </t>
  </si>
  <si>
    <t>Hours Per Month</t>
  </si>
  <si>
    <t>Hourly Rate</t>
  </si>
  <si>
    <t xml:space="preserve">Overtime Rate x1.5 </t>
  </si>
  <si>
    <t>Overtime Rate x2.0</t>
  </si>
  <si>
    <t>Weekly Gross</t>
  </si>
  <si>
    <t>Monthly Gross</t>
  </si>
  <si>
    <t>Pension Per Month ( Employer )</t>
  </si>
  <si>
    <t>Pension Per Month ( Employee )</t>
  </si>
  <si>
    <t>Pension Per Year (Employer) - 3%</t>
  </si>
  <si>
    <t>Pension Per Year (Employee) - 5%</t>
  </si>
  <si>
    <t>Total Cost (Gross+Pension+Holiday+NIC)</t>
  </si>
  <si>
    <t>Estate Manager</t>
  </si>
  <si>
    <t>Finance Officer</t>
  </si>
  <si>
    <t>Caretaker</t>
  </si>
  <si>
    <t xml:space="preserve">Notes </t>
  </si>
  <si>
    <t>2. Based on Latest NIC rate for employer</t>
  </si>
  <si>
    <t>PENSIONS CONTRIBUTIONS - Cleaners &amp; Caretaker</t>
  </si>
  <si>
    <t>Office repairs/improvement / H&amp;S OFFICE</t>
  </si>
  <si>
    <t>CONSOLODATED (Leaseholder &amp; Tenants) Accounts</t>
  </si>
  <si>
    <t>% CHANGE</t>
  </si>
  <si>
    <t>INCOME Leaseholders</t>
  </si>
  <si>
    <t xml:space="preserve">Leaseholders Accounts </t>
  </si>
  <si>
    <t>Tenants Accounts</t>
  </si>
  <si>
    <t>KEYS:</t>
  </si>
  <si>
    <t>LHA</t>
  </si>
  <si>
    <t>LEASEHOLDER ACCOUNTS</t>
  </si>
  <si>
    <t>TA</t>
  </si>
  <si>
    <t>TENANTS ACCOUNTS</t>
  </si>
  <si>
    <t>PREPMNT</t>
  </si>
  <si>
    <t>PREPAYMENTS</t>
  </si>
  <si>
    <t>PPD</t>
  </si>
  <si>
    <t>PREPAYMENTS DETAIL</t>
  </si>
  <si>
    <t>ACRUALS</t>
  </si>
  <si>
    <t xml:space="preserve">ACCRUALS </t>
  </si>
  <si>
    <t>DI</t>
  </si>
  <si>
    <t>DEFERRED INCOME</t>
  </si>
  <si>
    <t>DID</t>
  </si>
  <si>
    <t>DEFERRED INCOME DETAIL</t>
  </si>
  <si>
    <t xml:space="preserve">AI </t>
  </si>
  <si>
    <t>ACCRUED INCOME</t>
  </si>
  <si>
    <t>AED</t>
  </si>
  <si>
    <t>ACCRUED EXPENSE DETAIL</t>
  </si>
  <si>
    <t>A/c 
Codes</t>
  </si>
  <si>
    <t>Budget 
Lines</t>
  </si>
  <si>
    <t>1:1</t>
  </si>
  <si>
    <t>LH SC Management allowance</t>
  </si>
  <si>
    <t>1:3</t>
  </si>
  <si>
    <t>1:4</t>
  </si>
  <si>
    <t>1:5</t>
  </si>
  <si>
    <t>2:1</t>
  </si>
  <si>
    <t>2:2</t>
  </si>
  <si>
    <t>2:3</t>
  </si>
  <si>
    <t>2:4</t>
  </si>
  <si>
    <t>2:5</t>
  </si>
  <si>
    <t>2:6</t>
  </si>
  <si>
    <t>2:7</t>
  </si>
  <si>
    <t>2:8</t>
  </si>
  <si>
    <t>2:9</t>
  </si>
  <si>
    <t>2:10</t>
  </si>
  <si>
    <t>2:11</t>
  </si>
  <si>
    <t>2:12</t>
  </si>
  <si>
    <t>Entryphone repair Electronic</t>
  </si>
  <si>
    <t>2:13</t>
  </si>
  <si>
    <t>2:14</t>
  </si>
  <si>
    <t>2:15</t>
  </si>
  <si>
    <t>2:16</t>
  </si>
  <si>
    <t>2:17</t>
  </si>
  <si>
    <t>2:18</t>
  </si>
  <si>
    <t>2:19</t>
  </si>
  <si>
    <t>2:20</t>
  </si>
  <si>
    <t>2:21</t>
  </si>
  <si>
    <t>2:22</t>
  </si>
  <si>
    <t>3:1</t>
  </si>
  <si>
    <t>3:2</t>
  </si>
  <si>
    <t>3:3</t>
  </si>
  <si>
    <t>3:4</t>
  </si>
  <si>
    <t>3:5</t>
  </si>
  <si>
    <t>3:6</t>
  </si>
  <si>
    <t>3:7</t>
  </si>
  <si>
    <t>3:8</t>
  </si>
  <si>
    <t>3:9</t>
  </si>
  <si>
    <t>3:10</t>
  </si>
  <si>
    <t>3:11</t>
  </si>
  <si>
    <t>3:12</t>
  </si>
  <si>
    <t>3:13</t>
  </si>
  <si>
    <t>4:1</t>
  </si>
  <si>
    <t>4:2</t>
  </si>
  <si>
    <t>Office water rates</t>
  </si>
  <si>
    <t>4:3</t>
  </si>
  <si>
    <t>Office rates</t>
  </si>
  <si>
    <t>4:4</t>
  </si>
  <si>
    <t>4:5</t>
  </si>
  <si>
    <t>Telephone &amp; internet</t>
  </si>
  <si>
    <t>4:6</t>
  </si>
  <si>
    <t>4:7</t>
  </si>
  <si>
    <t>4:8</t>
  </si>
  <si>
    <t>4:9</t>
  </si>
  <si>
    <t>4:11</t>
  </si>
  <si>
    <t>4:12</t>
  </si>
  <si>
    <t>4:13</t>
  </si>
  <si>
    <t>4:14</t>
  </si>
  <si>
    <t>4:15</t>
  </si>
  <si>
    <t>4:16</t>
  </si>
  <si>
    <t>4:17</t>
  </si>
  <si>
    <t>4:18</t>
  </si>
  <si>
    <t>4:19</t>
  </si>
  <si>
    <t>4:20</t>
  </si>
  <si>
    <t>4:21</t>
  </si>
  <si>
    <t>4:22</t>
  </si>
  <si>
    <t>4:23</t>
  </si>
  <si>
    <t>4:24</t>
  </si>
  <si>
    <t>4:25</t>
  </si>
  <si>
    <t>4:26</t>
  </si>
  <si>
    <t>4:27</t>
  </si>
  <si>
    <t>4:28</t>
  </si>
  <si>
    <t>4:29</t>
  </si>
  <si>
    <t>4:30</t>
  </si>
  <si>
    <t>4:31</t>
  </si>
  <si>
    <t>Tenant's rent bad debt</t>
  </si>
  <si>
    <t>15% Shared costs</t>
  </si>
  <si>
    <t>Weekend/Caretaker cover</t>
  </si>
  <si>
    <t>3. Based on maximum of SSP can pay to each staff, currently the each staffs gets 28 weeks of SSP @ £95.85 per week (£2,683.80).</t>
  </si>
  <si>
    <t>Total Expenditure - Tenant Costs</t>
  </si>
  <si>
    <r>
      <t>Holiday Pay</t>
    </r>
    <r>
      <rPr>
        <b/>
        <sz val="10"/>
        <color rgb="FFFF0000"/>
        <rFont val="Calibri"/>
        <family val="2"/>
        <scheme val="minor"/>
      </rPr>
      <t xml:space="preserve"> (See note 1)</t>
    </r>
  </si>
  <si>
    <r>
      <t>NIC</t>
    </r>
    <r>
      <rPr>
        <b/>
        <sz val="10"/>
        <color rgb="FFFF0000"/>
        <rFont val="Calibri"/>
        <family val="2"/>
        <scheme val="minor"/>
      </rPr>
      <t xml:space="preserve"> (See note 2)</t>
    </r>
  </si>
  <si>
    <t>Ibrahim</t>
  </si>
  <si>
    <t>Hours P/W</t>
  </si>
  <si>
    <t>Annualised Hours</t>
  </si>
  <si>
    <t>Avg rate per hour</t>
  </si>
  <si>
    <t>Total</t>
  </si>
  <si>
    <t xml:space="preserve">TOTAL EXPENDITURE Leaseholders </t>
  </si>
  <si>
    <t>Mohamed</t>
  </si>
  <si>
    <t>Entryphone repair Mechanical</t>
  </si>
  <si>
    <t>No anticipated.</t>
  </si>
  <si>
    <t>Pension contribution - Office staff (EM, FO &amp; A)</t>
  </si>
  <si>
    <t>Covered under Caretaker contractors and under Permanent staff wages. Therefore, no provision required.</t>
  </si>
  <si>
    <t>External Finance contractor, no longer hired.</t>
  </si>
  <si>
    <t>Corporation tax payable on net interest earnings.</t>
  </si>
  <si>
    <t>Office Administrator</t>
  </si>
  <si>
    <t>Anticipated NIC for Estate Manager &amp; Finance Officer &amp; Office Admin.</t>
  </si>
  <si>
    <t>Paladin bin hire/recycling</t>
  </si>
  <si>
    <t>As per WBC provision will remain unchanged.</t>
  </si>
  <si>
    <t>Tenant plan repair labour</t>
  </si>
  <si>
    <t>Void allowance</t>
  </si>
  <si>
    <t>Current Permanent Caretaker Opted-out of Pension Contribution, therefore, no liability anticipated.</t>
  </si>
  <si>
    <t>REMARKS</t>
  </si>
  <si>
    <t>NOTES TO THE BUDGET</t>
  </si>
  <si>
    <t>Goulden House Co-Operative Ltd - LEASEHOLDER BUDGET 2022</t>
  </si>
  <si>
    <t>Goulden House Co-Operative Ltd - TENANT BUDGET 2022</t>
  </si>
  <si>
    <t>Overall allowances towards Tenants has been adjusted in line with LHA at the rate of 6%.</t>
  </si>
  <si>
    <t>No longer applicable.</t>
  </si>
  <si>
    <t>External Caretaker Contractors - Start cleaning</t>
  </si>
  <si>
    <t>A Provision required due to change in Management over the years.</t>
  </si>
  <si>
    <t>Agreed to keep at the same level as before.</t>
  </si>
  <si>
    <t>The Net Book Value remain unchanged as there were no significant Capital expenditures incurred during the year other than a Laptop, costing, as a result similar trend of Depreciation is provided. FAR has been updated to reflect this.</t>
  </si>
  <si>
    <t>Monthly charge</t>
  </si>
  <si>
    <t>Per month Depreciation</t>
  </si>
  <si>
    <t>Per annum</t>
  </si>
  <si>
    <t xml:space="preserve">Office Furniture &amp; Equipment  </t>
  </si>
  <si>
    <t>Icarus furniture</t>
  </si>
  <si>
    <t>Self scan T 8015 clock in system</t>
  </si>
  <si>
    <t>Lexmark MC 2535 Adwe</t>
  </si>
  <si>
    <t xml:space="preserve">Computer Eqpt &amp; Software  </t>
  </si>
  <si>
    <t xml:space="preserve">Lenovo laptop V15 -IWL </t>
  </si>
  <si>
    <t>2020/21</t>
  </si>
  <si>
    <t>ASSET</t>
  </si>
  <si>
    <t>BUDGET (YTD) 2021/22</t>
  </si>
  <si>
    <t>Income &amp; Expenditure Consolidated Leaseholders &amp; Tenants</t>
  </si>
  <si>
    <t>Income &amp; Expenditure  Leaseholders Only</t>
  </si>
  <si>
    <t>Income &amp; Expenditure  Tenants Only</t>
  </si>
  <si>
    <t xml:space="preserve">INCOME </t>
  </si>
  <si>
    <t>Provision for The Pension Trust Deficit (Provisional)</t>
  </si>
  <si>
    <t>The Pension Trust Deficit has now been settled and no further liability arises from this. Hence, no more Provisions required.</t>
  </si>
  <si>
    <t>Revised from £500 to Nil.</t>
  </si>
  <si>
    <t>Revised from 24k to 14k.</t>
  </si>
  <si>
    <t>Revised from 3.5kk to £500.</t>
  </si>
  <si>
    <t>TMO/CO-OP Allowance Calculation</t>
  </si>
  <si>
    <t>Goulden House 2021-22</t>
  </si>
  <si>
    <t>No. Props</t>
  </si>
  <si>
    <t>Non Res</t>
  </si>
  <si>
    <t>Housing Contract:</t>
  </si>
  <si>
    <t>WJ</t>
  </si>
  <si>
    <t>Tenants</t>
  </si>
  <si>
    <t>Leaseholders</t>
  </si>
  <si>
    <t>Summary of Allowances</t>
  </si>
  <si>
    <t>£</t>
  </si>
  <si>
    <t xml:space="preserve"> Management Allowances (TenantS)</t>
  </si>
  <si>
    <t>Management</t>
  </si>
  <si>
    <t>Estate Service Costs (LH</t>
  </si>
  <si>
    <t>Estate Costs</t>
  </si>
  <si>
    <t>Committee Admin Allowances (LH)</t>
  </si>
  <si>
    <t>Committee Administration</t>
  </si>
  <si>
    <t>Insurance Allowances (LH)</t>
  </si>
  <si>
    <t>Insurance</t>
  </si>
  <si>
    <t>Client Costs (LH)</t>
  </si>
  <si>
    <t>Client Costs</t>
  </si>
  <si>
    <t>VARIANCE</t>
  </si>
  <si>
    <t>Management Allowance</t>
  </si>
  <si>
    <t>Total/Unit</t>
  </si>
  <si>
    <t>No.</t>
  </si>
  <si>
    <t>2021-22</t>
  </si>
  <si>
    <t>Contract WJ</t>
  </si>
  <si>
    <t>(1)</t>
  </si>
  <si>
    <t>Tenant</t>
  </si>
  <si>
    <t xml:space="preserve">Estate cleaning </t>
  </si>
  <si>
    <t>Leaseholder</t>
  </si>
  <si>
    <t>Resident</t>
  </si>
  <si>
    <t>Emergency Response</t>
  </si>
  <si>
    <t>Minor Works</t>
  </si>
  <si>
    <t>Non-Resident</t>
  </si>
  <si>
    <t>Estate/Block Costs</t>
  </si>
  <si>
    <t>(2)</t>
  </si>
  <si>
    <t>Garden Maintenance</t>
  </si>
  <si>
    <t>Tree Works</t>
  </si>
  <si>
    <t>Cleaning</t>
  </si>
  <si>
    <t>Window Cleaning</t>
  </si>
  <si>
    <t>(3)</t>
  </si>
  <si>
    <t>Lighting/Electricity</t>
  </si>
  <si>
    <t>(4)</t>
  </si>
  <si>
    <t>Paladins</t>
  </si>
  <si>
    <t>(5)</t>
  </si>
  <si>
    <t>Repairs (all residents)</t>
  </si>
  <si>
    <t>(6)</t>
  </si>
  <si>
    <t>Repairs (tenant only)</t>
  </si>
  <si>
    <t>Vacants</t>
  </si>
  <si>
    <t>(7)</t>
  </si>
  <si>
    <t>Gas</t>
  </si>
  <si>
    <t>EntryCall</t>
  </si>
  <si>
    <t>Dry Risers</t>
  </si>
  <si>
    <t>Extractor fans</t>
  </si>
  <si>
    <t>(8)</t>
  </si>
  <si>
    <t>Ex Decs</t>
  </si>
  <si>
    <t>Insurance (repairs all residents)</t>
  </si>
  <si>
    <t>Insurance (repairs tenants)</t>
  </si>
  <si>
    <t>Lump Sum</t>
  </si>
  <si>
    <t>Per Unit</t>
  </si>
  <si>
    <t>No.Units</t>
  </si>
  <si>
    <t>(9)</t>
  </si>
  <si>
    <t>WBC-retained functions not included in allowance calculation if applicable:</t>
  </si>
  <si>
    <t>Lift Maintenance</t>
  </si>
  <si>
    <t>Water Sampling</t>
  </si>
  <si>
    <t>Extractor Fans</t>
  </si>
  <si>
    <t>Lightning Conductors</t>
  </si>
  <si>
    <t>Heating contract</t>
  </si>
  <si>
    <t>Inflation Rates Applicable 2021/22</t>
  </si>
  <si>
    <t>% Increase</t>
  </si>
  <si>
    <t>RPI</t>
  </si>
  <si>
    <t xml:space="preserve">NB. THIS IS A DRAFT ESTIMATE AND NOT A FINAL OFFER </t>
  </si>
  <si>
    <t>ACTUAL (YTD)       2020/21</t>
  </si>
  <si>
    <t>SUSPENSE ACCOUNT</t>
  </si>
  <si>
    <t>9999</t>
  </si>
  <si>
    <t>TENANT PLAN REPAIR LABOUR</t>
  </si>
  <si>
    <t>9018</t>
  </si>
  <si>
    <t>SAGE PROGRAM SUPPORT</t>
  </si>
  <si>
    <t>9013</t>
  </si>
  <si>
    <t>VOID PROPERTY COST</t>
  </si>
  <si>
    <t>9006</t>
  </si>
  <si>
    <t>TENANT REPAIRS - MATERIALS</t>
  </si>
  <si>
    <t>9001</t>
  </si>
  <si>
    <t>TENANT REPAIRS - CONTRACTORS</t>
  </si>
  <si>
    <t>9000</t>
  </si>
  <si>
    <t>8057</t>
  </si>
  <si>
    <t>AUDIT FEES</t>
  </si>
  <si>
    <t>8040</t>
  </si>
  <si>
    <t>BANK CHARGES</t>
  </si>
  <si>
    <t>8010</t>
  </si>
  <si>
    <t>TAX EXPENSES</t>
  </si>
  <si>
    <t>8005</t>
  </si>
  <si>
    <t>DEPRECIATION</t>
  </si>
  <si>
    <t>8000</t>
  </si>
  <si>
    <t>OFFICE SECURITY</t>
  </si>
  <si>
    <t>7080</t>
  </si>
  <si>
    <t>COPIER EXPENSES ( Toner &amp; Usage )</t>
  </si>
  <si>
    <t>7070</t>
  </si>
  <si>
    <t>OFFICE ELETRICITY</t>
  </si>
  <si>
    <t>7050</t>
  </si>
  <si>
    <t>OFFICE REPAIRS &amp; IMPROVEMENTS</t>
  </si>
  <si>
    <t>7040</t>
  </si>
  <si>
    <t>STATIONERY</t>
  </si>
  <si>
    <t>7032</t>
  </si>
  <si>
    <t>SUBSCRIPTIONS &amp; REGISTRATION FEES</t>
  </si>
  <si>
    <t>7031</t>
  </si>
  <si>
    <t>POSTAGE &amp; PRINTING</t>
  </si>
  <si>
    <t>7030</t>
  </si>
  <si>
    <t>IT SUPPORT, BACKUP AND SECURITY</t>
  </si>
  <si>
    <t>7022</t>
  </si>
  <si>
    <t>IT / WEBSITE , DOMAIN , HOSTING , OFFICE 365</t>
  </si>
  <si>
    <t>7021</t>
  </si>
  <si>
    <t>OFFICE TELEPHONE</t>
  </si>
  <si>
    <t>7020</t>
  </si>
  <si>
    <t>INSURANCE POLICIES</t>
  </si>
  <si>
    <t>7010</t>
  </si>
  <si>
    <t>OFFICE CLEANING</t>
  </si>
  <si>
    <t>7005</t>
  </si>
  <si>
    <t>OFFICE RATES</t>
  </si>
  <si>
    <t>7002</t>
  </si>
  <si>
    <t>OFFICE WATER RATE</t>
  </si>
  <si>
    <t>7001</t>
  </si>
  <si>
    <t>OFFICE RENT</t>
  </si>
  <si>
    <t>7000</t>
  </si>
  <si>
    <t>BULK RUBBISH FEES</t>
  </si>
  <si>
    <t>6190</t>
  </si>
  <si>
    <t>PALADIN BIN RENTAL WBC</t>
  </si>
  <si>
    <t>6175</t>
  </si>
  <si>
    <t>GARDEN MAINTENANCE</t>
  </si>
  <si>
    <t>6160</t>
  </si>
  <si>
    <t>B/E REPAIRS - MATERIALS</t>
  </si>
  <si>
    <t>6147</t>
  </si>
  <si>
    <t>EMERGENCY PATROL CONTRACT</t>
  </si>
  <si>
    <t>6130</t>
  </si>
  <si>
    <t>E'PHONE REPAIRS - ELECTRONIC</t>
  </si>
  <si>
    <t>6060</t>
  </si>
  <si>
    <t>ENTRYPHONE KEYS STOCK</t>
  </si>
  <si>
    <t>6045</t>
  </si>
  <si>
    <t>6040</t>
  </si>
  <si>
    <t>PEST CONTROL</t>
  </si>
  <si>
    <t>6027</t>
  </si>
  <si>
    <t>Drain &amp; Gutter Repair / Clearance</t>
  </si>
  <si>
    <t>6026</t>
  </si>
  <si>
    <t>B/E REPAIRS - CONTRACTORS</t>
  </si>
  <si>
    <t>6020</t>
  </si>
  <si>
    <t>COMMUNAL ELECTRICITY</t>
  </si>
  <si>
    <t>6000</t>
  </si>
  <si>
    <t>OFFICE CONTRACTOR - Accountancy</t>
  </si>
  <si>
    <t>5045</t>
  </si>
  <si>
    <t>PENSIONS CONTRIBUTIONS - OFFICE</t>
  </si>
  <si>
    <t>5020</t>
  </si>
  <si>
    <t>EMPLOYER's NIC - CARETAKER</t>
  </si>
  <si>
    <t>50021</t>
  </si>
  <si>
    <t>EMPLOYER's NIC - OFFICE STAFF</t>
  </si>
  <si>
    <t>5002</t>
  </si>
  <si>
    <t>STAFF GROSS PAY - CARETAKER</t>
  </si>
  <si>
    <t>50011</t>
  </si>
  <si>
    <t>STAFF GROSS PAY - OFFICE STAFF</t>
  </si>
  <si>
    <t>5001</t>
  </si>
  <si>
    <t>INSURANCE CLAIMS</t>
  </si>
  <si>
    <t>4095</t>
  </si>
  <si>
    <t>OTHER INCOME</t>
  </si>
  <si>
    <t>4090</t>
  </si>
  <si>
    <t>BANK INTEREST RECEIVED</t>
  </si>
  <si>
    <t>4030</t>
  </si>
  <si>
    <t>L.H SERVICE CHARGE INCOME</t>
  </si>
  <si>
    <t>4010</t>
  </si>
  <si>
    <t>INSURANCE ALLOWANCE</t>
  </si>
  <si>
    <t>4006</t>
  </si>
  <si>
    <t>ESTATE SERVICES ALLOWANCE</t>
  </si>
  <si>
    <t>4005</t>
  </si>
  <si>
    <t>REPAIRS ALLOWANCE</t>
  </si>
  <si>
    <t>4003</t>
  </si>
  <si>
    <t>STORESHED ALLOWANCE</t>
  </si>
  <si>
    <t>4002</t>
  </si>
  <si>
    <t>MANAGEMENT &amp; MAINTENANCE ALLOWANCES</t>
  </si>
  <si>
    <t>4000</t>
  </si>
  <si>
    <t>L.H EX DEC RESERVE</t>
  </si>
  <si>
    <t>3300</t>
  </si>
  <si>
    <t>TENANT CYCLICAL MAINTENANCE RESERVE- B/S</t>
  </si>
  <si>
    <t>3208</t>
  </si>
  <si>
    <t>SHARE CAPITAL</t>
  </si>
  <si>
    <t>3201</t>
  </si>
  <si>
    <t>INCOME &amp; EXPENDITURE A/C</t>
  </si>
  <si>
    <t>3200</t>
  </si>
  <si>
    <t>PENSION CONTROL ACCOUNT</t>
  </si>
  <si>
    <t>2230</t>
  </si>
  <si>
    <t>VAT ON EXPENDITURE (CTL A/C)</t>
  </si>
  <si>
    <t>2202</t>
  </si>
  <si>
    <t>VAT LIABILITY ACC (CTL A/C)</t>
  </si>
  <si>
    <t>2201</t>
  </si>
  <si>
    <t>ENTRYPHONE KEY DEPOSITS</t>
  </si>
  <si>
    <t>2130</t>
  </si>
  <si>
    <t>CORPORATION TAX (BS)</t>
  </si>
  <si>
    <t>2120</t>
  </si>
  <si>
    <t>BIKESHELTER KEY DEPOSIT</t>
  </si>
  <si>
    <t>2112</t>
  </si>
  <si>
    <t>Deferred Income / Donation / Bikeshed Income</t>
  </si>
  <si>
    <t>2110</t>
  </si>
  <si>
    <t>ACCRUALS</t>
  </si>
  <si>
    <t>2109</t>
  </si>
  <si>
    <t>SUNDRY CREDITORS</t>
  </si>
  <si>
    <t>2102</t>
  </si>
  <si>
    <t>CREDITORS CONTROL ACCOUNT</t>
  </si>
  <si>
    <t>2100</t>
  </si>
  <si>
    <t>PROVISION FOR BAD DEBTS</t>
  </si>
  <si>
    <t>1900</t>
  </si>
  <si>
    <t>MONEYMASTER BANK A/C ( 11384007 )</t>
  </si>
  <si>
    <t>1220</t>
  </si>
  <si>
    <t>1205</t>
  </si>
  <si>
    <t>MANAGEMENT CURRENT BANK A/C ( 11261924 )</t>
  </si>
  <si>
    <t>1200</t>
  </si>
  <si>
    <t>RENT REPAYABLE TO WBC</t>
  </si>
  <si>
    <t>1110</t>
  </si>
  <si>
    <t>KEY AND BARRRELS STOCK</t>
  </si>
  <si>
    <t>1106</t>
  </si>
  <si>
    <t>1103</t>
  </si>
  <si>
    <t>SUNDRY DEBTORS</t>
  </si>
  <si>
    <t>1102</t>
  </si>
  <si>
    <t>DEBTORS CONTROL ACCOUNT</t>
  </si>
  <si>
    <t>1100</t>
  </si>
  <si>
    <t>DEPRECIATION FOR BLOCK TOOLS</t>
  </si>
  <si>
    <t>1046</t>
  </si>
  <si>
    <t>B/E TOOLS &amp; EQUIPMENT</t>
  </si>
  <si>
    <t>1040</t>
  </si>
  <si>
    <t>DEPRECIATION COMPUTER EQP</t>
  </si>
  <si>
    <t>1025</t>
  </si>
  <si>
    <t>COMPUTER HARDWARE+SOFTWARE</t>
  </si>
  <si>
    <t>1020</t>
  </si>
  <si>
    <t>DEPRECIATION OFFICE EQPT</t>
  </si>
  <si>
    <t>1015</t>
  </si>
  <si>
    <t>OFFICE FURNITURE &amp; EQUIPMENT</t>
  </si>
  <si>
    <t>1010</t>
  </si>
  <si>
    <t>Credit</t>
  </si>
  <si>
    <t>Debit</t>
  </si>
  <si>
    <t>N/C</t>
  </si>
  <si>
    <t>BUDGET (YTD) 2022/23</t>
  </si>
  <si>
    <t>Awaiting for Draft allowances to be confirmed by the WBC and the figure will be updated accordingly upon receipt of Information.</t>
  </si>
  <si>
    <t>As per revised Budget based on new role taken up at reduced rate.</t>
  </si>
  <si>
    <t>Estate cleaning (External Cleaners)</t>
  </si>
  <si>
    <t>STAFFS NATIONAL INSURANCE - Cleaners</t>
  </si>
  <si>
    <t>Repairs &amp; purchase of handsets for the Sub-entries.</t>
  </si>
  <si>
    <t>Current budget added with £10,000 as CF.</t>
  </si>
  <si>
    <t>Reduced in line with last year's actual</t>
  </si>
  <si>
    <t>Adjusted to 3 times Void Property on our list for refurbishment.</t>
  </si>
  <si>
    <t>The actual cost for 2021 includes cabling and extensive work done at Block A &amp; C and kept at this level, should the existing system fails.</t>
  </si>
  <si>
    <t>The revision to the Budget happened after May 2021 where the Garden Maintenance was paid at £1,000 and has been then reduced as part of the Business Plan, hence Spent is inline with last year's Budget. Current year budget takes effect of Autumn period where 2 times attendee is required.</t>
  </si>
  <si>
    <t>Drain, Gutter &amp; Flat Roof clearance</t>
  </si>
  <si>
    <t xml:space="preserve">Cost reduced to extensive repair being carried out in the current year, which will reduce the future expensive. It's for flashing of Stacks, Drainage, Downpipe, potential maintenance. </t>
  </si>
  <si>
    <t xml:space="preserve">The Pestgone amended to reflect actual contractual amount for the year. </t>
  </si>
  <si>
    <t>Anticipated towards maintenance, requires some repairs throughout the year.</t>
  </si>
  <si>
    <t>Gross staff salary - Office (EM, FO &amp; A Gross Salaries)</t>
  </si>
  <si>
    <t>Gross wages for Estate Manager, Finance Officer &amp; Office Admin. The increase is due to the recruitment of Admin Officer from November 2021, and the full year wages cost has been taken into account.</t>
  </si>
  <si>
    <t>In house cleaner's NIC based adjusted in line with actual costs.</t>
  </si>
  <si>
    <t>As Major Works anticipated, there will be more legal documents be printed for distribution to the residents.</t>
  </si>
  <si>
    <t>Anticipated that events may take place moving forward.</t>
  </si>
  <si>
    <t>Adjusted to actual fee.</t>
  </si>
  <si>
    <t>Peninsula HR Services, shared cost adjusted inline with current expenses.</t>
  </si>
  <si>
    <t>Sage Program Support (Payroll)</t>
  </si>
  <si>
    <t xml:space="preserve">As advised by the EM, works to the Balcony repairs has been uplifted. </t>
  </si>
  <si>
    <t>Some of the material costs are covered under Block repair costs (6020), hence reduced to reflect at this level.</t>
  </si>
  <si>
    <t>Adjusted line with last year's actual.</t>
  </si>
  <si>
    <t>BUDGET SUMMARY FOR 2022/23</t>
  </si>
  <si>
    <t xml:space="preserve">
VARIANCE            Budget 2021/22 vs Budget 2022/23</t>
  </si>
  <si>
    <t>Remain consistent with last year.</t>
  </si>
  <si>
    <t>This represents change of Keys to the Common Areas including Main Entrances that are non-rechargeable from the Residents.</t>
  </si>
  <si>
    <t>Bulk Waste collection includes payments made to Let US Group for various collections during the year. The actual amount has increased and the Budgeted amount has been set inline with actual cost.</t>
  </si>
  <si>
    <t>Office rent is subject to rent review every five years and the last Review was completed on 06/07/2021 and the next renew will be in 2026. As per current rent review, monthly renal is £168.50, costing £2022 per annum, the amount has been reflected on Budget as it stands.</t>
  </si>
  <si>
    <t>The telephone includes, BT cloud services, 3 broadbands, including the Community Room Broadband, BT Cloud calling and use of Mobile Sim card for Door entry system. Adjusted to reflect inline with actual cost incurred.</t>
  </si>
  <si>
    <t>Previous year we spent £400 on Domain and Office 365, which is now increased in pace with current spending, which stands at £600. The last Budgeted amount was insufficient.</t>
  </si>
  <si>
    <t>Printing, Postage &amp; Stationery</t>
  </si>
  <si>
    <t>Based on actual cost per annum</t>
  </si>
  <si>
    <t>Tenant costs</t>
  </si>
  <si>
    <t>Leaseholder costs</t>
  </si>
  <si>
    <t>Agreed to accounts</t>
  </si>
  <si>
    <t>Tenant repairs</t>
  </si>
  <si>
    <t>Coop Office &amp; Admin</t>
  </si>
  <si>
    <t>M&amp;M</t>
  </si>
  <si>
    <t>Bulk Rubbish</t>
  </si>
  <si>
    <t>Block Repairs</t>
  </si>
  <si>
    <t>Block Costs</t>
  </si>
  <si>
    <t>Paladin Bin</t>
  </si>
  <si>
    <t>Gardening</t>
  </si>
  <si>
    <t>Emergency Cover</t>
  </si>
  <si>
    <t>Entryphone</t>
  </si>
  <si>
    <t>Electricity</t>
  </si>
  <si>
    <t>Salaries</t>
  </si>
  <si>
    <t>Variance</t>
  </si>
  <si>
    <t>Budget</t>
  </si>
  <si>
    <t>Tenant Direct</t>
  </si>
  <si>
    <t>Tenant Apportion</t>
  </si>
  <si>
    <t>O&amp;A</t>
  </si>
  <si>
    <t>Block repairs</t>
  </si>
  <si>
    <t>Classification</t>
  </si>
  <si>
    <t>Final</t>
  </si>
  <si>
    <t>audit adjustment</t>
  </si>
  <si>
    <t>Draft</t>
  </si>
  <si>
    <t>Sage</t>
  </si>
  <si>
    <t>Over/(under)</t>
  </si>
  <si>
    <t>Total Staffing Costs (Tenants 21% only)</t>
  </si>
  <si>
    <t>Estate Cleaner's Part time Gross Salaries</t>
  </si>
  <si>
    <t>Estate Cleaner</t>
  </si>
  <si>
    <t>STAFFS NATIONAL INSURANCE - Estate Cleaner</t>
  </si>
  <si>
    <t>PENSIONS CONTRIBUTIONS - Estate Cleaner</t>
  </si>
  <si>
    <t>STAFFS COVER (OFFICE)</t>
  </si>
  <si>
    <t>STAFFS COVER (CARETAKER )</t>
  </si>
  <si>
    <t>This is the amount paid to the External Cleaners reflected inline with contracted hours, plus Caretaker cover additional cost added to this, as the staff will be absorbed via Start Cleaning.</t>
  </si>
  <si>
    <t>4:10</t>
  </si>
  <si>
    <t xml:space="preserve">OFFICE CLEANING </t>
  </si>
  <si>
    <t>The stationery cost includes, Data Shred, Stationeries and postage and adjusted in line with current expenses.</t>
  </si>
  <si>
    <t>Includes Estate Cleaning Materials as well and requires adjusting to Nominal code 6140</t>
  </si>
  <si>
    <t>We exclusively purchase from Viking for Office Cleaning (7005), Block Cleaning (6140) and some printing materials (7030) and the split must be agreed between these 3 items.</t>
  </si>
  <si>
    <t>IT Support cost &amp; security adjusted in line with actual costs.</t>
  </si>
  <si>
    <t>Yearly Gross 22/23</t>
  </si>
  <si>
    <t>Estatte Cleaner</t>
  </si>
  <si>
    <t>M I M Thowfeek</t>
  </si>
  <si>
    <t>Margarete Earle</t>
  </si>
  <si>
    <t>Annie Gleeson</t>
  </si>
  <si>
    <t>Walter Richard Barnes</t>
  </si>
  <si>
    <t>1. Calculations are estimate using staffs annual leave entitlement days X hourly rate = Total X 60 % of that used as budget for staffs cover cost (Incl of staffs covers for admin &amp; cleaner)</t>
  </si>
  <si>
    <t>Inflation impact @5.2%</t>
  </si>
  <si>
    <t>Holiday Entitlement (On pro-rata and 35 hours full time hours)</t>
  </si>
  <si>
    <t>TOTAL</t>
  </si>
  <si>
    <t>Mon, Wed and Sat</t>
  </si>
  <si>
    <t>Thur to Fri</t>
  </si>
  <si>
    <t>Mon to Wed</t>
  </si>
  <si>
    <t>Mon to Fri</t>
  </si>
  <si>
    <r>
      <t>SSP</t>
    </r>
    <r>
      <rPr>
        <b/>
        <sz val="10"/>
        <color rgb="FFFF0000"/>
        <rFont val="Calibri"/>
        <family val="2"/>
        <scheme val="minor"/>
      </rPr>
      <t xml:space="preserve"> (See note 3)</t>
    </r>
  </si>
  <si>
    <t>A provisional amount of £300 added.</t>
  </si>
  <si>
    <t>ADD: 15% Shared costs</t>
  </si>
  <si>
    <t>2.5 times increase anticipated due to Energy Crisis, 2-3 years deal is preferred, as per available current information.</t>
  </si>
  <si>
    <t>CCTV was installed in April 2020 and the One year Warranty has expired, hence, the cost of Maintenance including labour and Parts will be of our responsibility. We received a confirmed sum of under £400 per annum for one year of Maintenance, therefore, adjusted accordingly to reflect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</si>
</sst>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8" formatCode="&quot;£&quot;#,##0.00;[Red]\-&quot;£&quot;#,##0.00"/>
    <numFmt numFmtId="44" formatCode="_-&quot;£&quot;* #,##0.00_-;\-&quot;£&quot;* #,##0.00_-;_-&quot;£&quot;* &quot;-&quot;??_-;_-@_-"/>
    <numFmt numFmtId="43" formatCode="_-* #,##0.00_-;\-* #,##0.00_-;_-* &quot;-&quot;??_-;_-@_-"/>
    <numFmt numFmtId="164" formatCode="0.00_ ;[Red]\-0.00\ "/>
    <numFmt numFmtId="165" formatCode="mmm\ yyyy"/>
    <numFmt numFmtId="166" formatCode="#,##0;[Red]\(#,##0\)"/>
    <numFmt numFmtId="167" formatCode="0.0000"/>
    <numFmt numFmtId="168" formatCode="#,##0.0000_ ;[Red]\-#,##0.0000\ "/>
    <numFmt numFmtId="169" formatCode="#,##0.00_ ;[Red]\-#,##0.00\ "/>
    <numFmt numFmtId="170" formatCode="dd/mm/yyyy\,dddd"/>
    <numFmt numFmtId="171" formatCode="0.00000000"/>
    <numFmt numFmtId="172" formatCode="&quot;£&quot;#,##0.00"/>
    <numFmt numFmtId="173" formatCode="&quot;£&quot;#,##0"/>
    <numFmt numFmtId="174" formatCode="0.0%"/>
    <numFmt numFmtId="175" formatCode="0.00%;[Red]\-0.00%"/>
    <numFmt numFmtId="176" formatCode="_-* #,##0.0000_-;\-* #,##0.0000_-;_-* &quot;-&quot;??_-;_-@_-"/>
    <numFmt numFmtId="177" formatCode="#,##0_ ;\-#,##0\ "/>
    <numFmt numFmtId="178" formatCode="#,##0.0000"/>
    <numFmt numFmtId="179" formatCode="_-* #,##0_-;\-* #,##0_-;_-* &quot;-&quot;??_-;_-@_-"/>
    <numFmt numFmtId="180" formatCode="#,##0.00;\(#,##0.00\);\-"/>
    <numFmt numFmtId="181" formatCode="#,##0.000000000000"/>
  </numFmts>
  <fonts count="2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0"/>
      <color rgb="FFFF0000"/>
      <name val="Calibri"/>
      <family val="2"/>
      <scheme val="minor"/>
    </font>
    <font>
      <sz val="10"/>
      <name val="Calibri"/>
      <family val="2"/>
      <scheme val="minor"/>
    </font>
    <font>
      <sz val="11"/>
      <name val="Calibri"/>
      <family val="2"/>
    </font>
    <font>
      <sz val="8"/>
      <name val="Calibri"/>
      <family val="2"/>
      <scheme val="minor"/>
    </font>
    <font>
      <sz val="10"/>
      <color rgb="FFFF0000"/>
      <name val="Calibri"/>
      <family val="2"/>
      <scheme val="minor"/>
    </font>
    <font>
      <b/>
      <sz val="11"/>
      <color theme="1"/>
      <name val="Calibri"/>
      <family val="2"/>
      <scheme val="minor"/>
    </font>
    <font>
      <sz val="10"/>
      <name val="Calibri Light"/>
      <family val="2"/>
      <scheme val="major"/>
    </font>
    <font>
      <b/>
      <u/>
      <sz val="12"/>
      <name val="Calibri"/>
      <family val="2"/>
      <scheme val="minor"/>
    </font>
    <font>
      <u/>
      <sz val="12"/>
      <name val="Calibri"/>
      <family val="2"/>
      <scheme val="minor"/>
    </font>
    <font>
      <u/>
      <sz val="10"/>
      <name val="Calibri"/>
      <family val="2"/>
      <scheme val="minor"/>
    </font>
    <font>
      <b/>
      <sz val="12"/>
      <name val="Calibri"/>
      <family val="2"/>
      <scheme val="minor"/>
    </font>
    <font>
      <b/>
      <u/>
      <sz val="10"/>
      <name val="Calibri"/>
      <family val="2"/>
      <scheme val="minor"/>
    </font>
    <font>
      <sz val="12"/>
      <name val="Calibri"/>
      <family val="2"/>
      <scheme val="minor"/>
    </font>
    <font>
      <i/>
      <sz val="10"/>
      <name val="Calibri"/>
      <family val="2"/>
      <scheme val="minor"/>
    </font>
    <font>
      <b/>
      <sz val="10"/>
      <color indexed="10"/>
      <name val="Calibri"/>
      <family val="2"/>
      <scheme val="minor"/>
    </font>
    <font>
      <b/>
      <u/>
      <sz val="10"/>
      <color indexed="10"/>
      <name val="Calibri"/>
      <family val="2"/>
      <scheme val="minor"/>
    </font>
    <font>
      <b/>
      <sz val="14"/>
      <name val="Calibri"/>
      <family val="2"/>
      <scheme val="minor"/>
    </font>
    <font>
      <b/>
      <sz val="10"/>
      <name val="Calibri Light"/>
      <family val="2"/>
      <scheme val="major"/>
    </font>
    <font>
      <sz val="10"/>
      <color theme="1"/>
      <name val="Calibri"/>
      <family val="2"/>
      <scheme val="minor"/>
    </font>
    <font>
      <sz val="11"/>
      <name val="Calibri"/>
      <family val="2"/>
    </font>
    <font>
      <b/>
      <u/>
      <sz val="10"/>
      <color rgb="FF000000"/>
      <name val="Calibri"/>
      <family val="2"/>
      <scheme val="minor"/>
    </font>
    <font>
      <sz val="10"/>
      <color rgb="FF000000"/>
      <name val="Calibri"/>
      <family val="2"/>
      <scheme val="minor"/>
    </font>
    <font>
      <sz val="10"/>
      <color rgb="FFFF0000"/>
      <name val="Calibri Light"/>
      <family val="2"/>
      <scheme val="major"/>
    </font>
    <font>
      <b/>
      <sz val="10"/>
      <color rgb="FFFF0000"/>
      <name val="Calibri Light"/>
      <family val="2"/>
      <scheme val="major"/>
    </font>
    <font>
      <b/>
      <sz val="10"/>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indexed="13"/>
        <bgColor indexed="64"/>
      </patternFill>
    </fill>
    <fill>
      <patternFill patternType="solid">
        <fgColor theme="8" tint="0.79998168889431442"/>
        <bgColor indexed="64"/>
      </patternFill>
    </fill>
    <fill>
      <patternFill patternType="solid">
        <fgColor rgb="FF00FF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s>
  <cellStyleXfs count="27">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23" fillId="0" borderId="0"/>
    <xf numFmtId="0" fontId="6" fillId="0" borderId="0"/>
  </cellStyleXfs>
  <cellXfs count="336">
    <xf numFmtId="0" fontId="0" fillId="0" borderId="0" xfId="0"/>
    <xf numFmtId="174" fontId="5" fillId="2" borderId="0" xfId="11" applyNumberFormat="1" applyFont="1" applyFill="1" applyBorder="1" applyAlignment="1">
      <alignment horizontal="center" vertical="center"/>
    </xf>
    <xf numFmtId="0" fontId="5" fillId="2" borderId="0" xfId="0" applyFont="1" applyFill="1" applyBorder="1" applyAlignment="1">
      <alignment vertical="center"/>
    </xf>
    <xf numFmtId="0" fontId="5" fillId="2" borderId="0" xfId="4" applyFont="1" applyFill="1" applyBorder="1" applyAlignment="1">
      <alignment horizontal="right" vertical="center"/>
    </xf>
    <xf numFmtId="10" fontId="10" fillId="2" borderId="0" xfId="11" applyNumberFormat="1" applyFont="1" applyFill="1" applyBorder="1" applyAlignment="1">
      <alignment vertical="center"/>
    </xf>
    <xf numFmtId="166" fontId="10" fillId="2" borderId="0" xfId="1" applyNumberFormat="1" applyFont="1" applyFill="1" applyBorder="1" applyAlignment="1">
      <alignment vertical="center"/>
    </xf>
    <xf numFmtId="0" fontId="0" fillId="0" borderId="0" xfId="0" applyAlignment="1">
      <alignment horizontal="left" vertical="center"/>
    </xf>
    <xf numFmtId="0" fontId="5" fillId="0" borderId="0" xfId="7" applyFont="1" applyAlignment="1">
      <alignment horizontal="left" vertical="center"/>
    </xf>
    <xf numFmtId="0" fontId="0" fillId="0" borderId="0" xfId="0" applyAlignment="1">
      <alignment vertical="center"/>
    </xf>
    <xf numFmtId="43" fontId="9" fillId="0" borderId="0" xfId="1" applyFont="1" applyAlignment="1">
      <alignment vertical="center"/>
    </xf>
    <xf numFmtId="43" fontId="0" fillId="0" borderId="0" xfId="1" applyFont="1" applyAlignment="1">
      <alignment vertical="center"/>
    </xf>
    <xf numFmtId="43" fontId="9" fillId="0" borderId="4" xfId="1" applyFont="1" applyBorder="1" applyAlignment="1">
      <alignment vertical="center"/>
    </xf>
    <xf numFmtId="0" fontId="3" fillId="4" borderId="1" xfId="7" applyFont="1" applyFill="1" applyBorder="1" applyAlignment="1">
      <alignment horizontal="center" vertical="center" wrapText="1"/>
    </xf>
    <xf numFmtId="0" fontId="5" fillId="0" borderId="0" xfId="7" applyFont="1" applyAlignment="1">
      <alignment horizontal="center" vertical="center"/>
    </xf>
    <xf numFmtId="49" fontId="5" fillId="0" borderId="0" xfId="7" applyNumberFormat="1" applyFont="1" applyAlignment="1">
      <alignment horizontal="left" vertical="center"/>
    </xf>
    <xf numFmtId="18" fontId="5" fillId="0" borderId="1" xfId="7" applyNumberFormat="1" applyFont="1" applyBorder="1" applyAlignment="1">
      <alignment horizontal="left" vertical="center"/>
    </xf>
    <xf numFmtId="167" fontId="5" fillId="0" borderId="1" xfId="7" applyNumberFormat="1" applyFont="1" applyBorder="1" applyAlignment="1">
      <alignment horizontal="left" vertical="center"/>
    </xf>
    <xf numFmtId="168" fontId="3" fillId="4" borderId="1" xfId="7" applyNumberFormat="1" applyFont="1" applyFill="1" applyBorder="1" applyAlignment="1">
      <alignment horizontal="left" vertical="center"/>
    </xf>
    <xf numFmtId="169" fontId="5" fillId="0" borderId="1" xfId="10" applyNumberFormat="1" applyFont="1" applyBorder="1" applyAlignment="1">
      <alignment horizontal="left" vertical="center"/>
    </xf>
    <xf numFmtId="44" fontId="3" fillId="5" borderId="1" xfId="10" applyFont="1" applyFill="1" applyBorder="1" applyAlignment="1">
      <alignment horizontal="left" vertical="center"/>
    </xf>
    <xf numFmtId="44" fontId="3" fillId="0" borderId="1" xfId="10" applyFont="1" applyBorder="1" applyAlignment="1">
      <alignment horizontal="left" vertical="center"/>
    </xf>
    <xf numFmtId="44" fontId="3" fillId="4" borderId="1" xfId="10" applyFont="1" applyFill="1" applyBorder="1" applyAlignment="1">
      <alignment horizontal="left" vertical="center"/>
    </xf>
    <xf numFmtId="44" fontId="3" fillId="3" borderId="1" xfId="10" applyFont="1" applyFill="1" applyBorder="1" applyAlignment="1">
      <alignment horizontal="left" vertical="center"/>
    </xf>
    <xf numFmtId="170" fontId="5" fillId="0" borderId="1" xfId="7" applyNumberFormat="1" applyFont="1" applyBorder="1" applyAlignment="1">
      <alignment horizontal="left" vertical="center"/>
    </xf>
    <xf numFmtId="170" fontId="5" fillId="0" borderId="0" xfId="7" applyNumberFormat="1" applyFont="1" applyAlignment="1">
      <alignment horizontal="left" vertical="center"/>
    </xf>
    <xf numFmtId="2" fontId="5" fillId="0" borderId="0" xfId="7" applyNumberFormat="1" applyFont="1" applyAlignment="1">
      <alignment horizontal="left" vertical="center"/>
    </xf>
    <xf numFmtId="44" fontId="5" fillId="0" borderId="0" xfId="10" applyFont="1" applyAlignment="1">
      <alignment horizontal="left" vertical="center"/>
    </xf>
    <xf numFmtId="49" fontId="5" fillId="0" borderId="0" xfId="10" applyNumberFormat="1" applyFont="1" applyAlignment="1">
      <alignment horizontal="left" vertical="center"/>
    </xf>
    <xf numFmtId="171" fontId="5" fillId="0" borderId="0" xfId="7" applyNumberFormat="1" applyFont="1" applyAlignment="1">
      <alignment horizontal="left" vertical="center"/>
    </xf>
    <xf numFmtId="0" fontId="8" fillId="0" borderId="0" xfId="7" applyFont="1" applyAlignment="1">
      <alignment horizontal="left" vertical="center"/>
    </xf>
    <xf numFmtId="0" fontId="3" fillId="0" borderId="0" xfId="7" applyFont="1" applyAlignment="1">
      <alignment horizontal="left" vertical="center"/>
    </xf>
    <xf numFmtId="44" fontId="5" fillId="0" borderId="0" xfId="7" applyNumberFormat="1" applyFont="1" applyAlignment="1">
      <alignment horizontal="left" vertical="center"/>
    </xf>
    <xf numFmtId="44" fontId="5" fillId="0" borderId="1" xfId="7" applyNumberFormat="1" applyFont="1" applyBorder="1" applyAlignment="1">
      <alignment horizontal="left" vertical="center"/>
    </xf>
    <xf numFmtId="43" fontId="5" fillId="0" borderId="1" xfId="1" applyFont="1" applyBorder="1" applyAlignment="1">
      <alignment horizontal="left" vertical="center"/>
    </xf>
    <xf numFmtId="44" fontId="5" fillId="0" borderId="7" xfId="7" applyNumberFormat="1" applyFont="1" applyBorder="1" applyAlignment="1">
      <alignment horizontal="left" vertical="center"/>
    </xf>
    <xf numFmtId="0" fontId="5" fillId="6" borderId="1" xfId="7" applyFont="1" applyFill="1" applyBorder="1" applyAlignment="1">
      <alignment horizontal="left" vertical="center"/>
    </xf>
    <xf numFmtId="175" fontId="10" fillId="2" borderId="0" xfId="11" applyNumberFormat="1" applyFont="1" applyFill="1" applyBorder="1" applyAlignment="1">
      <alignment vertical="center"/>
    </xf>
    <xf numFmtId="0" fontId="0" fillId="2" borderId="0" xfId="0" applyFill="1" applyAlignment="1">
      <alignment vertical="center"/>
    </xf>
    <xf numFmtId="173" fontId="5" fillId="2" borderId="0" xfId="0" applyNumberFormat="1" applyFont="1" applyFill="1" applyBorder="1" applyAlignment="1">
      <alignment vertical="center"/>
    </xf>
    <xf numFmtId="10" fontId="5" fillId="2" borderId="0" xfId="11" applyNumberFormat="1" applyFont="1" applyFill="1" applyBorder="1" applyAlignment="1">
      <alignment vertical="center"/>
    </xf>
    <xf numFmtId="173" fontId="5" fillId="2" borderId="0" xfId="5" applyNumberFormat="1" applyFont="1" applyFill="1" applyBorder="1" applyAlignment="1">
      <alignment vertical="center"/>
    </xf>
    <xf numFmtId="2" fontId="5" fillId="2" borderId="0" xfId="4" quotePrefix="1" applyNumberFormat="1" applyFont="1" applyFill="1" applyBorder="1" applyAlignment="1">
      <alignment horizontal="center" vertical="center"/>
    </xf>
    <xf numFmtId="172" fontId="5" fillId="2" borderId="0" xfId="0" applyNumberFormat="1" applyFont="1" applyFill="1" applyBorder="1" applyAlignment="1">
      <alignment horizontal="justify" vertical="center"/>
    </xf>
    <xf numFmtId="173" fontId="5" fillId="2" borderId="0" xfId="5" applyNumberFormat="1" applyFont="1" applyFill="1" applyBorder="1" applyAlignment="1">
      <alignment horizontal="left" vertical="center"/>
    </xf>
    <xf numFmtId="1" fontId="5" fillId="2" borderId="0" xfId="0" applyNumberFormat="1" applyFont="1" applyFill="1" applyBorder="1" applyAlignment="1">
      <alignment horizontal="center" vertical="center"/>
    </xf>
    <xf numFmtId="172" fontId="5" fillId="2" borderId="0" xfId="0" applyNumberFormat="1" applyFont="1" applyFill="1" applyBorder="1" applyAlignment="1">
      <alignment horizontal="left" vertical="center"/>
    </xf>
    <xf numFmtId="166" fontId="5" fillId="2" borderId="0" xfId="1" applyNumberFormat="1" applyFont="1" applyFill="1" applyBorder="1" applyAlignment="1">
      <alignment horizontal="right" vertical="center"/>
    </xf>
    <xf numFmtId="172" fontId="5" fillId="2" borderId="0" xfId="0" applyNumberFormat="1" applyFont="1" applyFill="1" applyBorder="1" applyAlignment="1">
      <alignment vertical="center"/>
    </xf>
    <xf numFmtId="2" fontId="5" fillId="2" borderId="0" xfId="0" applyNumberFormat="1" applyFont="1" applyFill="1" applyBorder="1" applyAlignment="1">
      <alignment horizontal="center" vertical="center"/>
    </xf>
    <xf numFmtId="172" fontId="5" fillId="2" borderId="0" xfId="1" applyNumberFormat="1" applyFont="1" applyFill="1" applyBorder="1" applyAlignment="1">
      <alignment vertical="center"/>
    </xf>
    <xf numFmtId="164" fontId="5" fillId="2" borderId="0" xfId="7" applyNumberFormat="1" applyFont="1" applyFill="1" applyBorder="1" applyAlignment="1">
      <alignment horizontal="left" vertical="center"/>
    </xf>
    <xf numFmtId="165" fontId="5" fillId="2" borderId="0" xfId="7" applyNumberFormat="1" applyFont="1" applyFill="1" applyBorder="1" applyAlignment="1">
      <alignment horizontal="left" vertical="center"/>
    </xf>
    <xf numFmtId="0" fontId="5" fillId="2" borderId="0" xfId="0" applyFont="1" applyFill="1" applyBorder="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right" vertical="center"/>
    </xf>
    <xf numFmtId="173" fontId="5" fillId="2" borderId="0" xfId="0" applyNumberFormat="1" applyFont="1" applyFill="1" applyBorder="1" applyAlignment="1">
      <alignment horizontal="left" vertical="center"/>
    </xf>
    <xf numFmtId="1" fontId="5" fillId="2" borderId="0" xfId="5" applyNumberFormat="1" applyFont="1" applyFill="1" applyBorder="1" applyAlignment="1">
      <alignment horizontal="left" vertical="center"/>
    </xf>
    <xf numFmtId="1" fontId="5" fillId="2" borderId="0" xfId="0" applyNumberFormat="1" applyFont="1" applyFill="1" applyBorder="1" applyAlignment="1">
      <alignment horizontal="left" vertical="center"/>
    </xf>
    <xf numFmtId="2" fontId="5" fillId="2" borderId="0" xfId="4" quotePrefix="1" applyNumberFormat="1" applyFont="1" applyFill="1" applyBorder="1" applyAlignment="1">
      <alignment horizontal="left" vertical="center"/>
    </xf>
    <xf numFmtId="6" fontId="5" fillId="8" borderId="0" xfId="1" applyNumberFormat="1" applyFont="1" applyFill="1" applyBorder="1" applyAlignment="1">
      <alignment vertical="center"/>
    </xf>
    <xf numFmtId="6" fontId="5" fillId="7" borderId="0" xfId="1" applyNumberFormat="1" applyFont="1" applyFill="1" applyBorder="1" applyAlignment="1">
      <alignment vertical="center"/>
    </xf>
    <xf numFmtId="6" fontId="5" fillId="2" borderId="0" xfId="0" applyNumberFormat="1" applyFont="1" applyFill="1" applyBorder="1" applyAlignment="1">
      <alignment vertical="center"/>
    </xf>
    <xf numFmtId="6" fontId="5" fillId="2" borderId="0" xfId="11" applyNumberFormat="1" applyFont="1" applyFill="1" applyBorder="1" applyAlignment="1">
      <alignment vertical="center"/>
    </xf>
    <xf numFmtId="6" fontId="10" fillId="2" borderId="0" xfId="1" applyNumberFormat="1" applyFont="1" applyFill="1" applyBorder="1" applyAlignment="1">
      <alignment vertical="center"/>
    </xf>
    <xf numFmtId="173" fontId="10" fillId="2" borderId="0" xfId="1" applyNumberFormat="1" applyFont="1" applyFill="1" applyBorder="1" applyAlignment="1">
      <alignment vertical="center"/>
    </xf>
    <xf numFmtId="173" fontId="5" fillId="8" borderId="0" xfId="1" applyNumberFormat="1" applyFont="1" applyFill="1" applyBorder="1" applyAlignment="1">
      <alignment vertical="center"/>
    </xf>
    <xf numFmtId="173" fontId="5" fillId="2" borderId="0" xfId="1" applyNumberFormat="1" applyFont="1" applyFill="1" applyBorder="1" applyAlignment="1">
      <alignment vertical="center"/>
    </xf>
    <xf numFmtId="173" fontId="5" fillId="7" borderId="0" xfId="1" applyNumberFormat="1" applyFont="1" applyFill="1" applyBorder="1" applyAlignment="1">
      <alignment vertical="center"/>
    </xf>
    <xf numFmtId="173" fontId="5" fillId="8" borderId="0" xfId="1" applyNumberFormat="1" applyFont="1" applyFill="1" applyBorder="1" applyAlignment="1">
      <alignment horizontal="right" vertical="center"/>
    </xf>
    <xf numFmtId="173" fontId="5" fillId="2" borderId="0" xfId="1" applyNumberFormat="1" applyFont="1" applyFill="1" applyBorder="1" applyAlignment="1">
      <alignment horizontal="right" vertical="center"/>
    </xf>
    <xf numFmtId="173" fontId="5" fillId="7" borderId="0" xfId="1" applyNumberFormat="1" applyFont="1" applyFill="1" applyBorder="1" applyAlignment="1">
      <alignment horizontal="right" vertical="center"/>
    </xf>
    <xf numFmtId="173" fontId="10" fillId="7" borderId="0" xfId="1" applyNumberFormat="1" applyFont="1" applyFill="1" applyBorder="1" applyAlignment="1">
      <alignment vertical="center"/>
    </xf>
    <xf numFmtId="173" fontId="5" fillId="2" borderId="0" xfId="1" applyNumberFormat="1" applyFont="1" applyFill="1" applyBorder="1" applyAlignment="1">
      <alignment horizontal="right" vertical="center" wrapText="1"/>
    </xf>
    <xf numFmtId="4" fontId="5" fillId="0" borderId="0" xfId="7" applyNumberFormat="1" applyFont="1" applyAlignment="1">
      <alignment horizontal="left" vertical="center"/>
    </xf>
    <xf numFmtId="173" fontId="8" fillId="9" borderId="0" xfId="5" applyNumberFormat="1" applyFont="1" applyFill="1" applyBorder="1" applyAlignment="1">
      <alignment vertical="center"/>
    </xf>
    <xf numFmtId="172" fontId="8" fillId="9" borderId="0" xfId="0" applyNumberFormat="1" applyFont="1" applyFill="1" applyBorder="1" applyAlignment="1">
      <alignment horizontal="justify" vertical="center"/>
    </xf>
    <xf numFmtId="43" fontId="0" fillId="0" borderId="0" xfId="1" applyFont="1"/>
    <xf numFmtId="0" fontId="13" fillId="0" borderId="16" xfId="0" applyFont="1" applyBorder="1"/>
    <xf numFmtId="0" fontId="3" fillId="0" borderId="0" xfId="0" applyFont="1" applyAlignment="1">
      <alignment horizontal="center"/>
    </xf>
    <xf numFmtId="0" fontId="14" fillId="0" borderId="0" xfId="0" applyFont="1"/>
    <xf numFmtId="0" fontId="5" fillId="0" borderId="0" xfId="0" applyFont="1"/>
    <xf numFmtId="0" fontId="5" fillId="0" borderId="17" xfId="0" applyFont="1" applyBorder="1"/>
    <xf numFmtId="0" fontId="5" fillId="0" borderId="16" xfId="0" applyFont="1" applyBorder="1"/>
    <xf numFmtId="0" fontId="13" fillId="0" borderId="0" xfId="0" applyFont="1"/>
    <xf numFmtId="0" fontId="5" fillId="0" borderId="18" xfId="0" applyFont="1" applyBorder="1"/>
    <xf numFmtId="0" fontId="13" fillId="0" borderId="18" xfId="0" applyFont="1" applyBorder="1" applyAlignment="1">
      <alignment wrapText="1"/>
    </xf>
    <xf numFmtId="0" fontId="5" fillId="0" borderId="18" xfId="0" applyFont="1" applyBorder="1" applyAlignment="1">
      <alignment horizontal="center"/>
    </xf>
    <xf numFmtId="0" fontId="5" fillId="0" borderId="19" xfId="0" applyFont="1" applyBorder="1"/>
    <xf numFmtId="0" fontId="3" fillId="0" borderId="20" xfId="0" applyFont="1" applyBorder="1" applyAlignment="1">
      <alignment horizontal="center"/>
    </xf>
    <xf numFmtId="0" fontId="5" fillId="0" borderId="20" xfId="0" applyFont="1" applyBorder="1"/>
    <xf numFmtId="0" fontId="5" fillId="0" borderId="21" xfId="0" applyFont="1" applyBorder="1"/>
    <xf numFmtId="0" fontId="5" fillId="0" borderId="22" xfId="0" applyFont="1" applyBorder="1"/>
    <xf numFmtId="0" fontId="15" fillId="0" borderId="0" xfId="0" applyFont="1" applyAlignment="1">
      <alignment horizontal="center"/>
    </xf>
    <xf numFmtId="0" fontId="5" fillId="0" borderId="10" xfId="0" applyFont="1" applyBorder="1"/>
    <xf numFmtId="17" fontId="5" fillId="0" borderId="11" xfId="0" applyNumberFormat="1" applyFont="1" applyBorder="1"/>
    <xf numFmtId="0" fontId="5" fillId="0" borderId="11" xfId="0" applyFont="1" applyBorder="1"/>
    <xf numFmtId="0" fontId="15" fillId="0" borderId="12" xfId="0" applyFont="1" applyBorder="1" applyAlignment="1">
      <alignment horizontal="center"/>
    </xf>
    <xf numFmtId="43" fontId="3" fillId="0" borderId="0" xfId="1" applyFont="1" applyFill="1" applyBorder="1"/>
    <xf numFmtId="176" fontId="3" fillId="0" borderId="18" xfId="1" applyNumberFormat="1" applyFont="1" applyFill="1" applyBorder="1"/>
    <xf numFmtId="0" fontId="16" fillId="0" borderId="0" xfId="0" applyFont="1" applyAlignment="1">
      <alignment horizontal="right"/>
    </xf>
    <xf numFmtId="0" fontId="14" fillId="0" borderId="16" xfId="0" applyFont="1" applyBorder="1"/>
    <xf numFmtId="17" fontId="16" fillId="0" borderId="0" xfId="0" applyNumberFormat="1" applyFont="1"/>
    <xf numFmtId="0" fontId="16" fillId="0" borderId="0" xfId="0" applyFont="1"/>
    <xf numFmtId="177" fontId="14" fillId="0" borderId="18" xfId="0" applyNumberFormat="1" applyFont="1" applyBorder="1"/>
    <xf numFmtId="43" fontId="14" fillId="0" borderId="18" xfId="1" applyFont="1" applyBorder="1"/>
    <xf numFmtId="10" fontId="13" fillId="0" borderId="18" xfId="11" applyNumberFormat="1" applyFont="1" applyFill="1" applyBorder="1" applyAlignment="1">
      <alignment horizontal="right"/>
    </xf>
    <xf numFmtId="0" fontId="14" fillId="0" borderId="0" xfId="0" applyFont="1" applyAlignment="1">
      <alignment horizontal="center"/>
    </xf>
    <xf numFmtId="17" fontId="16" fillId="0" borderId="0" xfId="0" applyNumberFormat="1" applyFont="1" applyAlignment="1">
      <alignment horizontal="right"/>
    </xf>
    <xf numFmtId="10" fontId="5" fillId="0" borderId="18" xfId="11" applyNumberFormat="1" applyFont="1" applyFill="1" applyBorder="1"/>
    <xf numFmtId="0" fontId="11" fillId="0" borderId="0" xfId="0" applyFont="1" applyAlignment="1">
      <alignment horizontal="center"/>
    </xf>
    <xf numFmtId="0" fontId="12" fillId="0" borderId="16" xfId="0" applyFont="1" applyBorder="1"/>
    <xf numFmtId="177" fontId="14" fillId="0" borderId="23" xfId="0" applyNumberFormat="1" applyFont="1" applyBorder="1"/>
    <xf numFmtId="0" fontId="16" fillId="0" borderId="24" xfId="0" applyFont="1" applyBorder="1"/>
    <xf numFmtId="0" fontId="16" fillId="0" borderId="25" xfId="0" quotePrefix="1" applyFont="1" applyBorder="1" applyAlignment="1">
      <alignment horizontal="right"/>
    </xf>
    <xf numFmtId="0" fontId="16" fillId="0" borderId="25" xfId="0" applyFont="1" applyBorder="1"/>
    <xf numFmtId="6" fontId="14" fillId="0" borderId="23" xfId="0" applyNumberFormat="1" applyFont="1" applyBorder="1"/>
    <xf numFmtId="6" fontId="14" fillId="0" borderId="16" xfId="0" applyNumberFormat="1" applyFont="1" applyBorder="1"/>
    <xf numFmtId="6" fontId="0" fillId="0" borderId="0" xfId="0" applyNumberFormat="1"/>
    <xf numFmtId="0" fontId="3" fillId="0" borderId="0" xfId="0" applyFont="1"/>
    <xf numFmtId="43" fontId="5" fillId="0" borderId="0" xfId="0" applyNumberFormat="1" applyFont="1"/>
    <xf numFmtId="172" fontId="10" fillId="2" borderId="0" xfId="4" applyNumberFormat="1" applyFont="1" applyFill="1" applyAlignment="1">
      <alignment horizontal="left" vertical="center"/>
    </xf>
    <xf numFmtId="0" fontId="15" fillId="0" borderId="16" xfId="0" applyFont="1" applyBorder="1"/>
    <xf numFmtId="0" fontId="13" fillId="0" borderId="0" xfId="0" applyFont="1" applyAlignment="1">
      <alignment horizontal="right"/>
    </xf>
    <xf numFmtId="0" fontId="13" fillId="0" borderId="18" xfId="0" applyFont="1" applyBorder="1" applyAlignment="1">
      <alignment horizontal="right"/>
    </xf>
    <xf numFmtId="178" fontId="5" fillId="0" borderId="16" xfId="0" applyNumberFormat="1" applyFont="1" applyBorder="1" applyAlignment="1">
      <alignment horizontal="center"/>
    </xf>
    <xf numFmtId="0" fontId="3" fillId="0" borderId="0" xfId="0" quotePrefix="1" applyFont="1" applyAlignment="1">
      <alignment horizontal="center"/>
    </xf>
    <xf numFmtId="4" fontId="5" fillId="0" borderId="0" xfId="0" applyNumberFormat="1" applyFont="1"/>
    <xf numFmtId="172" fontId="5" fillId="0" borderId="0" xfId="0" applyNumberFormat="1" applyFont="1"/>
    <xf numFmtId="6" fontId="5" fillId="0" borderId="18" xfId="0" applyNumberFormat="1" applyFont="1" applyBorder="1"/>
    <xf numFmtId="43" fontId="10" fillId="7" borderId="0" xfId="1" applyFont="1" applyFill="1" applyBorder="1" applyAlignment="1">
      <alignment horizontal="right" vertical="center"/>
    </xf>
    <xf numFmtId="6" fontId="0" fillId="0" borderId="0" xfId="1" applyNumberFormat="1" applyFont="1"/>
    <xf numFmtId="0" fontId="5" fillId="0" borderId="25" xfId="0" applyFont="1" applyBorder="1"/>
    <xf numFmtId="4" fontId="5" fillId="0" borderId="25" xfId="0" applyNumberFormat="1" applyFont="1" applyBorder="1"/>
    <xf numFmtId="1" fontId="5" fillId="0" borderId="0" xfId="0" applyNumberFormat="1" applyFont="1"/>
    <xf numFmtId="172" fontId="5" fillId="0" borderId="21" xfId="0" applyNumberFormat="1" applyFont="1" applyBorder="1"/>
    <xf numFmtId="6" fontId="3" fillId="0" borderId="26" xfId="0" applyNumberFormat="1" applyFont="1" applyBorder="1"/>
    <xf numFmtId="0" fontId="13" fillId="0" borderId="0" xfId="0" applyFont="1" applyAlignment="1">
      <alignment horizontal="center"/>
    </xf>
    <xf numFmtId="6" fontId="13" fillId="0" borderId="18" xfId="0" applyNumberFormat="1" applyFont="1" applyBorder="1" applyAlignment="1">
      <alignment horizontal="right"/>
    </xf>
    <xf numFmtId="2" fontId="5" fillId="0" borderId="0" xfId="0" applyNumberFormat="1" applyFont="1"/>
    <xf numFmtId="8" fontId="5" fillId="0" borderId="0" xfId="0" applyNumberFormat="1" applyFont="1"/>
    <xf numFmtId="0" fontId="5" fillId="0" borderId="20" xfId="0" applyFont="1" applyBorder="1" applyAlignment="1">
      <alignment horizontal="center"/>
    </xf>
    <xf numFmtId="8" fontId="5" fillId="0" borderId="21" xfId="0" applyNumberFormat="1" applyFont="1" applyBorder="1"/>
    <xf numFmtId="0" fontId="5" fillId="0" borderId="0" xfId="0" applyFont="1" applyAlignment="1">
      <alignment horizontal="center"/>
    </xf>
    <xf numFmtId="6" fontId="3" fillId="0" borderId="18" xfId="0" applyNumberFormat="1" applyFont="1" applyBorder="1"/>
    <xf numFmtId="178" fontId="5" fillId="0" borderId="19" xfId="0" applyNumberFormat="1" applyFont="1" applyBorder="1" applyAlignment="1">
      <alignment horizontal="center"/>
    </xf>
    <xf numFmtId="8" fontId="5" fillId="0" borderId="20" xfId="0" applyNumberFormat="1" applyFont="1" applyBorder="1"/>
    <xf numFmtId="6" fontId="3" fillId="0" borderId="22" xfId="0" applyNumberFormat="1" applyFont="1" applyBorder="1"/>
    <xf numFmtId="8" fontId="13" fillId="0" borderId="0" xfId="0" applyNumberFormat="1" applyFont="1" applyAlignment="1">
      <alignment horizontal="right"/>
    </xf>
    <xf numFmtId="0" fontId="15" fillId="0" borderId="20" xfId="0" applyFont="1" applyBorder="1" applyAlignment="1">
      <alignment horizontal="center"/>
    </xf>
    <xf numFmtId="0" fontId="3" fillId="0" borderId="22" xfId="0" applyFont="1" applyBorder="1"/>
    <xf numFmtId="0" fontId="5" fillId="0" borderId="27" xfId="0" applyFont="1" applyBorder="1"/>
    <xf numFmtId="0" fontId="3" fillId="0" borderId="28" xfId="0" applyFont="1" applyBorder="1" applyAlignment="1">
      <alignment horizontal="center"/>
    </xf>
    <xf numFmtId="0" fontId="5" fillId="0" borderId="28" xfId="0" applyFont="1" applyBorder="1"/>
    <xf numFmtId="0" fontId="5" fillId="0" borderId="29" xfId="0" applyFont="1" applyBorder="1"/>
    <xf numFmtId="0" fontId="17" fillId="0" borderId="16" xfId="0" applyFont="1" applyBorder="1"/>
    <xf numFmtId="0" fontId="5" fillId="0" borderId="16" xfId="0" applyFont="1" applyBorder="1" applyAlignment="1">
      <alignment horizontal="center"/>
    </xf>
    <xf numFmtId="0" fontId="18" fillId="0" borderId="0" xfId="0" applyFont="1"/>
    <xf numFmtId="0" fontId="19" fillId="0" borderId="16" xfId="0" applyFont="1" applyBorder="1"/>
    <xf numFmtId="0" fontId="3" fillId="0" borderId="16" xfId="0" applyFont="1" applyBorder="1"/>
    <xf numFmtId="8" fontId="3" fillId="0" borderId="0" xfId="0" applyNumberFormat="1" applyFont="1"/>
    <xf numFmtId="0" fontId="17" fillId="0" borderId="16" xfId="0" applyFont="1" applyBorder="1" applyAlignment="1">
      <alignment horizontal="left"/>
    </xf>
    <xf numFmtId="0" fontId="17" fillId="0" borderId="0" xfId="0" applyFont="1" applyAlignment="1">
      <alignment horizontal="center"/>
    </xf>
    <xf numFmtId="10" fontId="3" fillId="0" borderId="0" xfId="11" applyNumberFormat="1" applyFont="1" applyFill="1" applyBorder="1"/>
    <xf numFmtId="173" fontId="3" fillId="2" borderId="0" xfId="1" applyNumberFormat="1" applyFont="1" applyFill="1" applyBorder="1" applyAlignment="1">
      <alignment horizontal="right" vertical="center" wrapText="1"/>
    </xf>
    <xf numFmtId="172" fontId="3" fillId="2" borderId="0" xfId="0" applyNumberFormat="1" applyFont="1" applyFill="1" applyBorder="1" applyAlignment="1">
      <alignment horizontal="left" vertical="center"/>
    </xf>
    <xf numFmtId="172" fontId="3" fillId="2" borderId="0" xfId="0" applyNumberFormat="1" applyFont="1" applyFill="1" applyBorder="1" applyAlignment="1">
      <alignment vertical="center"/>
    </xf>
    <xf numFmtId="173" fontId="3" fillId="2" borderId="0" xfId="1" applyNumberFormat="1" applyFont="1" applyFill="1" applyBorder="1" applyAlignment="1">
      <alignment horizontal="right" vertical="center"/>
    </xf>
    <xf numFmtId="172" fontId="3" fillId="2" borderId="0" xfId="0" applyNumberFormat="1" applyFont="1" applyFill="1" applyBorder="1" applyAlignment="1">
      <alignment horizontal="justify" vertical="justify"/>
    </xf>
    <xf numFmtId="172" fontId="5" fillId="2" borderId="0" xfId="0" applyNumberFormat="1" applyFont="1" applyFill="1" applyBorder="1" applyAlignment="1">
      <alignment horizontal="center" vertical="center"/>
    </xf>
    <xf numFmtId="172" fontId="5" fillId="2" borderId="0" xfId="0" applyNumberFormat="1" applyFont="1" applyFill="1" applyBorder="1" applyAlignment="1">
      <alignment horizontal="justify" vertical="justify"/>
    </xf>
    <xf numFmtId="165" fontId="3" fillId="2" borderId="0" xfId="4" applyNumberFormat="1" applyFont="1" applyFill="1" applyBorder="1" applyAlignment="1">
      <alignment horizontal="center" vertical="center" wrapText="1"/>
    </xf>
    <xf numFmtId="173" fontId="3" fillId="7" borderId="0" xfId="1" applyNumberFormat="1" applyFont="1" applyFill="1" applyBorder="1" applyAlignment="1">
      <alignment horizontal="right" vertical="center" wrapText="1"/>
    </xf>
    <xf numFmtId="175" fontId="3" fillId="2" borderId="0" xfId="11" applyNumberFormat="1" applyFont="1" applyFill="1" applyBorder="1" applyAlignment="1">
      <alignment vertical="center"/>
    </xf>
    <xf numFmtId="165" fontId="3" fillId="2" borderId="0" xfId="0" applyNumberFormat="1" applyFont="1" applyFill="1" applyBorder="1" applyAlignment="1">
      <alignment horizontal="center" vertical="center"/>
    </xf>
    <xf numFmtId="0" fontId="5" fillId="2" borderId="0" xfId="4" applyFont="1" applyFill="1" applyAlignment="1">
      <alignment horizontal="center" vertical="center"/>
    </xf>
    <xf numFmtId="1" fontId="5" fillId="2" borderId="0" xfId="4" quotePrefix="1" applyNumberFormat="1" applyFont="1" applyFill="1" applyBorder="1" applyAlignment="1">
      <alignment horizontal="center" vertical="center"/>
    </xf>
    <xf numFmtId="175" fontId="5" fillId="2" borderId="0" xfId="11" applyNumberFormat="1" applyFont="1" applyFill="1" applyBorder="1" applyAlignment="1">
      <alignment vertical="center"/>
    </xf>
    <xf numFmtId="0" fontId="3" fillId="2" borderId="0" xfId="4" applyFont="1" applyFill="1" applyAlignment="1">
      <alignment horizontal="center" vertical="center" wrapText="1"/>
    </xf>
    <xf numFmtId="1" fontId="3" fillId="2" borderId="0" xfId="4" quotePrefix="1" applyNumberFormat="1" applyFont="1" applyFill="1" applyBorder="1" applyAlignment="1">
      <alignment horizontal="center" vertical="center"/>
    </xf>
    <xf numFmtId="166" fontId="3" fillId="2" borderId="0" xfId="1" applyNumberFormat="1" applyFont="1" applyFill="1" applyBorder="1" applyAlignment="1">
      <alignment horizontal="justify" vertical="justify"/>
    </xf>
    <xf numFmtId="172" fontId="5" fillId="2" borderId="0" xfId="4" applyNumberFormat="1" applyFont="1" applyFill="1" applyBorder="1" applyAlignment="1">
      <alignment horizontal="left" vertical="center"/>
    </xf>
    <xf numFmtId="0" fontId="5" fillId="2" borderId="0" xfId="0" applyFont="1" applyFill="1" applyAlignment="1">
      <alignment horizontal="center" vertical="center"/>
    </xf>
    <xf numFmtId="1" fontId="5" fillId="2" borderId="0" xfId="4" applyNumberFormat="1" applyFont="1" applyFill="1" applyBorder="1" applyAlignment="1">
      <alignment horizontal="center" vertical="center"/>
    </xf>
    <xf numFmtId="172" fontId="8" fillId="9" borderId="0" xfId="4" applyNumberFormat="1" applyFont="1" applyFill="1" applyBorder="1" applyAlignment="1">
      <alignment horizontal="left" vertical="center"/>
    </xf>
    <xf numFmtId="172" fontId="8" fillId="2" borderId="0" xfId="0" applyNumberFormat="1" applyFont="1" applyFill="1" applyBorder="1" applyAlignment="1">
      <alignment horizontal="justify" vertical="justify"/>
    </xf>
    <xf numFmtId="166" fontId="5" fillId="2" borderId="0" xfId="1" applyNumberFormat="1" applyFont="1" applyFill="1" applyBorder="1" applyAlignment="1">
      <alignment horizontal="justify" vertical="justify"/>
    </xf>
    <xf numFmtId="173" fontId="5" fillId="7" borderId="0" xfId="1" applyNumberFormat="1" applyFont="1" applyFill="1" applyBorder="1" applyAlignment="1">
      <alignment horizontal="right" vertical="center" wrapText="1"/>
    </xf>
    <xf numFmtId="173" fontId="8" fillId="7" borderId="0" xfId="1" applyNumberFormat="1" applyFont="1" applyFill="1" applyBorder="1" applyAlignment="1">
      <alignment horizontal="right" vertical="center"/>
    </xf>
    <xf numFmtId="0" fontId="21" fillId="2" borderId="0" xfId="0" applyFont="1" applyFill="1" applyAlignment="1">
      <alignment horizontal="right" vertical="center"/>
    </xf>
    <xf numFmtId="10" fontId="21" fillId="2" borderId="0" xfId="11" applyNumberFormat="1" applyFont="1" applyFill="1" applyBorder="1" applyAlignment="1">
      <alignment vertical="center"/>
    </xf>
    <xf numFmtId="166" fontId="3" fillId="2" borderId="0" xfId="0" applyNumberFormat="1" applyFont="1" applyFill="1" applyBorder="1" applyAlignment="1">
      <alignment vertical="center"/>
    </xf>
    <xf numFmtId="0" fontId="3" fillId="2" borderId="0" xfId="0" applyFont="1" applyFill="1" applyBorder="1" applyAlignment="1">
      <alignment vertical="center"/>
    </xf>
    <xf numFmtId="0" fontId="3" fillId="2" borderId="0" xfId="4" applyFont="1" applyFill="1" applyBorder="1" applyAlignment="1">
      <alignment horizontal="left" vertical="center"/>
    </xf>
    <xf numFmtId="173" fontId="3" fillId="8" borderId="0" xfId="1" applyNumberFormat="1" applyFont="1" applyFill="1" applyBorder="1" applyAlignment="1">
      <alignment horizontal="center" vertical="center" wrapText="1"/>
    </xf>
    <xf numFmtId="173" fontId="3" fillId="2" borderId="0" xfId="1" applyNumberFormat="1" applyFont="1" applyFill="1" applyBorder="1" applyAlignment="1">
      <alignment horizontal="center" vertical="center" wrapText="1"/>
    </xf>
    <xf numFmtId="173" fontId="3" fillId="7" borderId="0" xfId="1" applyNumberFormat="1" applyFont="1" applyFill="1" applyBorder="1" applyAlignment="1">
      <alignment horizontal="center" vertical="center" wrapText="1"/>
    </xf>
    <xf numFmtId="174" fontId="3" fillId="2" borderId="0" xfId="11"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5" fillId="2" borderId="0" xfId="4" applyFont="1" applyFill="1" applyAlignment="1">
      <alignment horizontal="left" vertical="center"/>
    </xf>
    <xf numFmtId="0" fontId="22" fillId="0" borderId="0" xfId="0" applyFont="1" applyAlignment="1">
      <alignment vertical="center"/>
    </xf>
    <xf numFmtId="0" fontId="5" fillId="0" borderId="0" xfId="0" applyFont="1" applyAlignment="1">
      <alignment horizontal="right"/>
    </xf>
    <xf numFmtId="0" fontId="3" fillId="2" borderId="0" xfId="0" applyFont="1" applyFill="1" applyBorder="1" applyAlignment="1">
      <alignment horizontal="right" vertical="center"/>
    </xf>
    <xf numFmtId="172" fontId="5" fillId="9" borderId="0" xfId="4" applyNumberFormat="1" applyFont="1" applyFill="1" applyBorder="1" applyAlignment="1">
      <alignment horizontal="left" vertical="center"/>
    </xf>
    <xf numFmtId="173" fontId="5" fillId="9" borderId="0" xfId="1" applyNumberFormat="1" applyFont="1" applyFill="1" applyBorder="1" applyAlignment="1">
      <alignment horizontal="right" vertical="center"/>
    </xf>
    <xf numFmtId="173" fontId="8" fillId="9" borderId="0" xfId="1" applyNumberFormat="1" applyFont="1" applyFill="1" applyBorder="1" applyAlignment="1">
      <alignment horizontal="right" vertical="center"/>
    </xf>
    <xf numFmtId="43" fontId="5" fillId="2" borderId="0" xfId="1" applyFont="1" applyFill="1" applyBorder="1" applyAlignment="1">
      <alignment vertical="center"/>
    </xf>
    <xf numFmtId="166" fontId="5" fillId="2" borderId="0" xfId="1" applyNumberFormat="1" applyFont="1" applyFill="1" applyBorder="1" applyAlignment="1">
      <alignment horizontal="justify" vertical="top"/>
    </xf>
    <xf numFmtId="0" fontId="22" fillId="0" borderId="0" xfId="0" applyFont="1" applyAlignment="1">
      <alignment horizontal="justify" vertical="top"/>
    </xf>
    <xf numFmtId="43" fontId="24" fillId="0" borderId="0" xfId="1" applyFont="1" applyAlignment="1">
      <alignment horizontal="right"/>
    </xf>
    <xf numFmtId="43" fontId="25" fillId="0" borderId="0" xfId="1" applyFont="1" applyAlignment="1">
      <alignment horizontal="right"/>
    </xf>
    <xf numFmtId="43" fontId="5" fillId="0" borderId="0" xfId="1" applyFont="1"/>
    <xf numFmtId="165" fontId="3" fillId="2" borderId="0" xfId="4" applyNumberFormat="1" applyFont="1" applyFill="1" applyBorder="1" applyAlignment="1">
      <alignment horizontal="left" vertical="center" wrapText="1"/>
    </xf>
    <xf numFmtId="165" fontId="3" fillId="2" borderId="0" xfId="5" applyNumberFormat="1" applyFont="1" applyFill="1" applyBorder="1" applyAlignment="1">
      <alignment horizontal="center" vertical="center"/>
    </xf>
    <xf numFmtId="6" fontId="3" fillId="8" borderId="0" xfId="1" applyNumberFormat="1" applyFont="1" applyFill="1" applyBorder="1" applyAlignment="1">
      <alignment horizontal="center" vertical="center" wrapText="1"/>
    </xf>
    <xf numFmtId="6" fontId="3" fillId="2" borderId="0" xfId="1" applyNumberFormat="1" applyFont="1" applyFill="1" applyBorder="1" applyAlignment="1">
      <alignment horizontal="center" vertical="center" wrapText="1"/>
    </xf>
    <xf numFmtId="10" fontId="3" fillId="2" borderId="0" xfId="11" applyNumberFormat="1" applyFont="1" applyFill="1" applyBorder="1" applyAlignment="1">
      <alignment vertical="center"/>
    </xf>
    <xf numFmtId="9" fontId="3" fillId="2" borderId="0" xfId="11" applyFont="1" applyFill="1" applyBorder="1" applyAlignment="1">
      <alignment vertical="center"/>
    </xf>
    <xf numFmtId="43" fontId="3" fillId="2" borderId="0" xfId="1" applyFont="1" applyFill="1" applyBorder="1" applyAlignment="1">
      <alignment horizontal="center" vertical="center"/>
    </xf>
    <xf numFmtId="6" fontId="8" fillId="8" borderId="0" xfId="1" applyNumberFormat="1" applyFont="1" applyFill="1" applyBorder="1" applyAlignment="1">
      <alignment vertical="center"/>
    </xf>
    <xf numFmtId="6" fontId="8" fillId="7" borderId="0" xfId="1" applyNumberFormat="1" applyFont="1" applyFill="1" applyBorder="1" applyAlignment="1">
      <alignment vertical="center"/>
    </xf>
    <xf numFmtId="0" fontId="21" fillId="2" borderId="0" xfId="4" applyFont="1" applyFill="1" applyAlignment="1">
      <alignment horizontal="left" vertical="center"/>
    </xf>
    <xf numFmtId="2" fontId="3" fillId="2" borderId="0" xfId="4" quotePrefix="1" applyNumberFormat="1" applyFont="1" applyFill="1" applyBorder="1" applyAlignment="1">
      <alignment horizontal="center" vertical="center"/>
    </xf>
    <xf numFmtId="173" fontId="3" fillId="2" borderId="0" xfId="4" applyNumberFormat="1" applyFont="1" applyFill="1" applyBorder="1" applyAlignment="1">
      <alignment horizontal="left" vertical="center"/>
    </xf>
    <xf numFmtId="6" fontId="4" fillId="7" borderId="0" xfId="1" applyNumberFormat="1" applyFont="1" applyFill="1" applyBorder="1" applyAlignment="1">
      <alignment horizontal="center" vertical="center" wrapText="1"/>
    </xf>
    <xf numFmtId="6" fontId="3" fillId="7" borderId="0" xfId="1" applyNumberFormat="1" applyFont="1" applyFill="1" applyBorder="1" applyAlignment="1">
      <alignment horizontal="center" vertical="center" wrapText="1"/>
    </xf>
    <xf numFmtId="43" fontId="3" fillId="2" borderId="0" xfId="1" applyFont="1" applyFill="1" applyBorder="1" applyAlignment="1">
      <alignment vertical="center"/>
    </xf>
    <xf numFmtId="173" fontId="3" fillId="2" borderId="0" xfId="0" applyNumberFormat="1" applyFont="1" applyFill="1" applyBorder="1" applyAlignment="1">
      <alignment vertical="center"/>
    </xf>
    <xf numFmtId="173" fontId="8" fillId="7" borderId="0" xfId="1" applyNumberFormat="1" applyFont="1" applyFill="1" applyBorder="1" applyAlignment="1">
      <alignment vertical="center"/>
    </xf>
    <xf numFmtId="173" fontId="4" fillId="7" borderId="0" xfId="1" applyNumberFormat="1" applyFont="1" applyFill="1" applyBorder="1" applyAlignment="1">
      <alignment horizontal="center" vertical="center" wrapText="1"/>
    </xf>
    <xf numFmtId="173" fontId="26" fillId="7" borderId="0" xfId="1" applyNumberFormat="1" applyFont="1" applyFill="1" applyBorder="1" applyAlignment="1">
      <alignment vertical="center"/>
    </xf>
    <xf numFmtId="0" fontId="3" fillId="2" borderId="0" xfId="4" applyFont="1" applyFill="1" applyAlignment="1">
      <alignment horizontal="center" vertical="center"/>
    </xf>
    <xf numFmtId="173" fontId="4" fillId="7" borderId="0" xfId="1" applyNumberFormat="1" applyFont="1" applyFill="1" applyBorder="1" applyAlignment="1">
      <alignment horizontal="right" vertical="center"/>
    </xf>
    <xf numFmtId="173" fontId="4" fillId="7" borderId="0" xfId="1" applyNumberFormat="1" applyFont="1" applyFill="1" applyBorder="1" applyAlignment="1">
      <alignment horizontal="right" vertical="center" wrapText="1"/>
    </xf>
    <xf numFmtId="173" fontId="8" fillId="7" borderId="0" xfId="1" applyNumberFormat="1" applyFont="1" applyFill="1" applyBorder="1" applyAlignment="1">
      <alignment horizontal="right" vertical="center" wrapText="1"/>
    </xf>
    <xf numFmtId="0" fontId="21" fillId="2" borderId="0" xfId="4" applyFont="1" applyFill="1" applyAlignment="1">
      <alignment horizontal="right" vertical="center"/>
    </xf>
    <xf numFmtId="175" fontId="21" fillId="2" borderId="0" xfId="11" applyNumberFormat="1" applyFont="1" applyFill="1" applyBorder="1" applyAlignment="1">
      <alignment vertical="center"/>
    </xf>
    <xf numFmtId="43" fontId="25" fillId="9" borderId="0" xfId="1" applyFont="1" applyFill="1" applyAlignment="1">
      <alignment horizontal="right"/>
    </xf>
    <xf numFmtId="43" fontId="8" fillId="9" borderId="0" xfId="1" applyFont="1" applyFill="1" applyAlignment="1">
      <alignment horizontal="right"/>
    </xf>
    <xf numFmtId="179" fontId="5" fillId="8" borderId="0" xfId="1" applyNumberFormat="1" applyFont="1" applyFill="1" applyBorder="1" applyAlignment="1">
      <alignment vertical="center"/>
    </xf>
    <xf numFmtId="179" fontId="3" fillId="8" borderId="0" xfId="1" applyNumberFormat="1" applyFont="1" applyFill="1" applyBorder="1" applyAlignment="1">
      <alignment horizontal="center" vertical="center" wrapText="1"/>
    </xf>
    <xf numFmtId="173" fontId="28" fillId="7" borderId="0" xfId="1" applyNumberFormat="1" applyFont="1" applyFill="1" applyBorder="1" applyAlignment="1">
      <alignment horizontal="right" vertical="center"/>
    </xf>
    <xf numFmtId="1" fontId="28" fillId="2" borderId="0" xfId="4" applyNumberFormat="1" applyFont="1" applyFill="1" applyBorder="1" applyAlignment="1">
      <alignment horizontal="center" vertical="center"/>
    </xf>
    <xf numFmtId="172" fontId="28" fillId="2" borderId="0" xfId="4" applyNumberFormat="1" applyFont="1" applyFill="1" applyBorder="1" applyAlignment="1">
      <alignment horizontal="left" vertical="center"/>
    </xf>
    <xf numFmtId="173" fontId="28" fillId="7" borderId="0" xfId="1" applyNumberFormat="1" applyFont="1" applyFill="1" applyBorder="1" applyAlignment="1">
      <alignment horizontal="right" vertical="center" wrapText="1"/>
    </xf>
    <xf numFmtId="173" fontId="28" fillId="2" borderId="0" xfId="1" applyNumberFormat="1" applyFont="1" applyFill="1" applyBorder="1" applyAlignment="1">
      <alignment horizontal="right" vertical="center" wrapText="1"/>
    </xf>
    <xf numFmtId="172" fontId="28" fillId="2" borderId="0" xfId="0" applyNumberFormat="1" applyFont="1" applyFill="1" applyBorder="1" applyAlignment="1">
      <alignment horizontal="justify" vertical="justify"/>
    </xf>
    <xf numFmtId="172" fontId="28" fillId="2" borderId="0" xfId="0" applyNumberFormat="1" applyFont="1" applyFill="1" applyBorder="1" applyAlignment="1">
      <alignment vertical="center"/>
    </xf>
    <xf numFmtId="173" fontId="3" fillId="8" borderId="21" xfId="1" applyNumberFormat="1" applyFont="1" applyFill="1" applyBorder="1" applyAlignment="1">
      <alignment horizontal="right" vertical="center"/>
    </xf>
    <xf numFmtId="173" fontId="4" fillId="7" borderId="21" xfId="1" applyNumberFormat="1" applyFont="1" applyFill="1" applyBorder="1" applyAlignment="1">
      <alignment horizontal="right" vertical="center"/>
    </xf>
    <xf numFmtId="173" fontId="3" fillId="7" borderId="21" xfId="1" applyNumberFormat="1" applyFont="1" applyFill="1" applyBorder="1" applyAlignment="1">
      <alignment horizontal="right" vertical="center"/>
    </xf>
    <xf numFmtId="173" fontId="21" fillId="2" borderId="21" xfId="1" applyNumberFormat="1" applyFont="1" applyFill="1" applyBorder="1" applyAlignment="1">
      <alignment vertical="center"/>
    </xf>
    <xf numFmtId="166" fontId="21" fillId="8" borderId="21" xfId="1" applyNumberFormat="1" applyFont="1" applyFill="1" applyBorder="1" applyAlignment="1">
      <alignment vertical="center"/>
    </xf>
    <xf numFmtId="166" fontId="27" fillId="7" borderId="21" xfId="1" applyNumberFormat="1" applyFont="1" applyFill="1" applyBorder="1" applyAlignment="1">
      <alignment vertical="center"/>
    </xf>
    <xf numFmtId="166" fontId="21" fillId="7" borderId="21" xfId="1" applyNumberFormat="1" applyFont="1" applyFill="1" applyBorder="1" applyAlignment="1">
      <alignment vertical="center"/>
    </xf>
    <xf numFmtId="1" fontId="3" fillId="2" borderId="0" xfId="4" applyNumberFormat="1" applyFont="1" applyFill="1" applyBorder="1" applyAlignment="1">
      <alignment horizontal="center" vertical="center"/>
    </xf>
    <xf numFmtId="172" fontId="3" fillId="2" borderId="0" xfId="4" applyNumberFormat="1" applyFont="1" applyFill="1" applyBorder="1" applyAlignment="1">
      <alignment horizontal="left" vertical="center"/>
    </xf>
    <xf numFmtId="0" fontId="5" fillId="0" borderId="1" xfId="7" applyFont="1" applyBorder="1" applyAlignment="1">
      <alignment horizontal="left" vertical="center"/>
    </xf>
    <xf numFmtId="0" fontId="24" fillId="0" borderId="0" xfId="26" applyFont="1" applyAlignment="1">
      <alignment horizontal="left"/>
    </xf>
    <xf numFmtId="0" fontId="5" fillId="0" borderId="0" xfId="26" applyFont="1"/>
    <xf numFmtId="0" fontId="25" fillId="0" borderId="0" xfId="26" applyFont="1" applyAlignment="1">
      <alignment horizontal="left"/>
    </xf>
    <xf numFmtId="6" fontId="5" fillId="2" borderId="0" xfId="0" applyNumberFormat="1" applyFont="1" applyFill="1" applyAlignment="1">
      <alignment vertical="center"/>
    </xf>
    <xf numFmtId="175" fontId="3" fillId="2" borderId="0" xfId="0" applyNumberFormat="1" applyFont="1" applyFill="1" applyAlignment="1">
      <alignment vertical="center"/>
    </xf>
    <xf numFmtId="172" fontId="3" fillId="2" borderId="0" xfId="0" applyNumberFormat="1" applyFont="1" applyFill="1" applyAlignment="1">
      <alignment horizontal="justify" vertical="justify"/>
    </xf>
    <xf numFmtId="175" fontId="5" fillId="2" borderId="0" xfId="0" applyNumberFormat="1" applyFont="1" applyFill="1" applyAlignment="1">
      <alignment vertical="center"/>
    </xf>
    <xf numFmtId="172" fontId="5" fillId="2" borderId="0" xfId="0" applyNumberFormat="1" applyFont="1" applyFill="1" applyAlignment="1">
      <alignment horizontal="justify" vertical="justify"/>
    </xf>
    <xf numFmtId="172" fontId="8" fillId="2" borderId="0" xfId="0" applyNumberFormat="1" applyFont="1" applyFill="1" applyAlignment="1">
      <alignment horizontal="justify" vertical="justify"/>
    </xf>
    <xf numFmtId="175" fontId="28" fillId="2" borderId="0" xfId="0" applyNumberFormat="1" applyFont="1" applyFill="1" applyAlignment="1">
      <alignment horizontal="center" vertical="center"/>
    </xf>
    <xf numFmtId="172" fontId="28" fillId="2" borderId="0" xfId="0" applyNumberFormat="1" applyFont="1" applyFill="1" applyAlignment="1">
      <alignment horizontal="justify" vertical="justify"/>
    </xf>
    <xf numFmtId="175" fontId="3" fillId="2" borderId="0" xfId="0" applyNumberFormat="1" applyFont="1" applyFill="1" applyAlignment="1">
      <alignment horizontal="center" vertical="center"/>
    </xf>
    <xf numFmtId="0" fontId="5" fillId="9" borderId="0" xfId="4" applyFont="1" applyFill="1" applyAlignment="1">
      <alignment horizontal="center" vertical="center"/>
    </xf>
    <xf numFmtId="1" fontId="5" fillId="9" borderId="0" xfId="4"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173" fontId="3" fillId="7" borderId="0" xfId="1" applyNumberFormat="1" applyFont="1" applyFill="1" applyBorder="1" applyAlignment="1">
      <alignment horizontal="right" vertical="center"/>
    </xf>
    <xf numFmtId="179" fontId="3" fillId="2" borderId="0" xfId="1" applyNumberFormat="1" applyFont="1" applyFill="1" applyBorder="1" applyAlignment="1">
      <alignment horizontal="right" vertical="center"/>
    </xf>
    <xf numFmtId="179" fontId="5" fillId="2" borderId="0" xfId="1" applyNumberFormat="1" applyFont="1" applyFill="1" applyBorder="1" applyAlignment="1">
      <alignment horizontal="right" vertical="center"/>
    </xf>
    <xf numFmtId="179" fontId="5" fillId="8" borderId="0" xfId="1" applyNumberFormat="1" applyFont="1" applyFill="1" applyBorder="1" applyAlignment="1">
      <alignment horizontal="center" vertical="center" wrapText="1"/>
    </xf>
    <xf numFmtId="179" fontId="5" fillId="8" borderId="0" xfId="1" applyNumberFormat="1" applyFont="1" applyFill="1" applyBorder="1" applyAlignment="1">
      <alignment horizontal="center" vertical="center"/>
    </xf>
    <xf numFmtId="179" fontId="3" fillId="8" borderId="0" xfId="1" applyNumberFormat="1" applyFont="1" applyFill="1" applyBorder="1" applyAlignment="1">
      <alignment horizontal="center" vertical="center"/>
    </xf>
    <xf numFmtId="179" fontId="28" fillId="8" borderId="0" xfId="1" applyNumberFormat="1" applyFont="1" applyFill="1" applyBorder="1" applyAlignment="1">
      <alignment horizontal="center" vertical="center" wrapText="1"/>
    </xf>
    <xf numFmtId="179" fontId="8" fillId="8" borderId="0" xfId="1" applyNumberFormat="1" applyFont="1" applyFill="1" applyBorder="1" applyAlignment="1">
      <alignment horizontal="center" vertical="center"/>
    </xf>
    <xf numFmtId="180" fontId="0" fillId="0" borderId="0" xfId="0" applyNumberFormat="1"/>
    <xf numFmtId="180" fontId="9" fillId="0" borderId="0" xfId="0" applyNumberFormat="1" applyFont="1" applyAlignment="1">
      <alignment horizontal="center"/>
    </xf>
    <xf numFmtId="180" fontId="9" fillId="0" borderId="30" xfId="0" applyNumberFormat="1" applyFont="1" applyBorder="1"/>
    <xf numFmtId="180" fontId="9" fillId="0" borderId="0" xfId="0" applyNumberFormat="1" applyFont="1"/>
    <xf numFmtId="0" fontId="9" fillId="0" borderId="0" xfId="0" applyFont="1" applyAlignment="1">
      <alignment horizontal="center"/>
    </xf>
    <xf numFmtId="180" fontId="0" fillId="0" borderId="30" xfId="0" applyNumberFormat="1" applyBorder="1"/>
    <xf numFmtId="9" fontId="0" fillId="0" borderId="0" xfId="0" applyNumberFormat="1"/>
    <xf numFmtId="0" fontId="9" fillId="0" borderId="25" xfId="0" applyFont="1" applyBorder="1" applyAlignment="1">
      <alignment horizontal="center"/>
    </xf>
    <xf numFmtId="0" fontId="9" fillId="0" borderId="25" xfId="0" applyFont="1" applyBorder="1"/>
    <xf numFmtId="0" fontId="9" fillId="0" borderId="0" xfId="0" applyFont="1"/>
    <xf numFmtId="181" fontId="0" fillId="0" borderId="0" xfId="0" applyNumberFormat="1"/>
    <xf numFmtId="179" fontId="0" fillId="0" borderId="0" xfId="1" applyNumberFormat="1" applyFont="1"/>
    <xf numFmtId="1" fontId="3" fillId="2" borderId="0" xfId="0" applyNumberFormat="1" applyFont="1" applyFill="1" applyBorder="1" applyAlignment="1">
      <alignment horizontal="left" vertical="center"/>
    </xf>
    <xf numFmtId="166" fontId="21" fillId="2" borderId="0" xfId="1" applyNumberFormat="1" applyFont="1" applyFill="1" applyBorder="1" applyAlignment="1">
      <alignment vertical="center"/>
    </xf>
    <xf numFmtId="166" fontId="3" fillId="2" borderId="0" xfId="1" applyNumberFormat="1" applyFont="1" applyFill="1" applyBorder="1" applyAlignment="1">
      <alignment horizontal="right" vertical="center"/>
    </xf>
    <xf numFmtId="14" fontId="3" fillId="0" borderId="0" xfId="7" applyNumberFormat="1" applyFont="1" applyAlignment="1">
      <alignment horizontal="center" vertical="center"/>
    </xf>
    <xf numFmtId="172" fontId="5" fillId="0" borderId="1" xfId="1" applyNumberFormat="1" applyFont="1" applyBorder="1" applyAlignment="1">
      <alignment horizontal="right" vertical="center"/>
    </xf>
    <xf numFmtId="9" fontId="10" fillId="2" borderId="0" xfId="11" applyFont="1" applyFill="1" applyBorder="1" applyAlignment="1">
      <alignment vertical="center"/>
    </xf>
    <xf numFmtId="0" fontId="5" fillId="0" borderId="1" xfId="7" applyFont="1" applyBorder="1" applyAlignment="1">
      <alignment horizontal="left" vertical="center"/>
    </xf>
    <xf numFmtId="0" fontId="3" fillId="11" borderId="3" xfId="7" applyFont="1" applyFill="1" applyBorder="1" applyAlignment="1">
      <alignment horizontal="center" vertical="center"/>
    </xf>
    <xf numFmtId="0" fontId="3" fillId="11" borderId="5" xfId="7" applyFont="1" applyFill="1" applyBorder="1" applyAlignment="1">
      <alignment horizontal="center" vertical="center"/>
    </xf>
    <xf numFmtId="0" fontId="3" fillId="0" borderId="1" xfId="7" applyFont="1" applyBorder="1" applyAlignment="1">
      <alignment horizontal="center" vertical="center" wrapText="1"/>
    </xf>
    <xf numFmtId="0" fontId="3" fillId="11" borderId="1" xfId="7" applyFont="1" applyFill="1" applyBorder="1" applyAlignment="1">
      <alignment horizontal="left" vertical="center"/>
    </xf>
    <xf numFmtId="172" fontId="3" fillId="11" borderId="1" xfId="7" applyNumberFormat="1" applyFont="1" applyFill="1" applyBorder="1" applyAlignment="1">
      <alignment horizontal="right" vertical="center"/>
    </xf>
    <xf numFmtId="0" fontId="5" fillId="11" borderId="1" xfId="7" applyFont="1" applyFill="1" applyBorder="1" applyAlignment="1">
      <alignment horizontal="left" vertical="center"/>
    </xf>
    <xf numFmtId="0" fontId="3" fillId="11" borderId="9" xfId="7" applyFont="1" applyFill="1" applyBorder="1" applyAlignment="1">
      <alignment horizontal="left" vertical="center"/>
    </xf>
    <xf numFmtId="44" fontId="3" fillId="11" borderId="9" xfId="7" applyNumberFormat="1" applyFont="1" applyFill="1" applyBorder="1" applyAlignment="1">
      <alignment horizontal="left" vertical="center"/>
    </xf>
    <xf numFmtId="0" fontId="5" fillId="2" borderId="0" xfId="0" applyFont="1" applyFill="1" applyBorder="1" applyAlignment="1">
      <alignment horizontal="right" vertical="center"/>
    </xf>
    <xf numFmtId="165" fontId="5" fillId="2" borderId="0" xfId="7" applyNumberFormat="1" applyFont="1" applyFill="1" applyBorder="1" applyAlignment="1">
      <alignment horizontal="right" vertical="center"/>
    </xf>
    <xf numFmtId="164" fontId="5" fillId="2" borderId="0" xfId="7" applyNumberFormat="1" applyFont="1" applyFill="1" applyBorder="1" applyAlignment="1">
      <alignment horizontal="right" vertical="center"/>
    </xf>
    <xf numFmtId="0" fontId="3" fillId="2" borderId="0" xfId="4" applyFont="1" applyFill="1" applyBorder="1" applyAlignment="1">
      <alignment horizontal="right" vertical="center"/>
    </xf>
    <xf numFmtId="166" fontId="27" fillId="7" borderId="0" xfId="1" applyNumberFormat="1" applyFont="1" applyFill="1" applyBorder="1" applyAlignment="1">
      <alignment vertical="center"/>
    </xf>
    <xf numFmtId="0" fontId="5" fillId="9" borderId="0" xfId="4" applyFont="1" applyFill="1" applyAlignment="1">
      <alignment horizontal="right" vertical="center"/>
    </xf>
    <xf numFmtId="0" fontId="5" fillId="9" borderId="0" xfId="4" applyFont="1" applyFill="1" applyBorder="1" applyAlignment="1">
      <alignment horizontal="right" vertical="center"/>
    </xf>
    <xf numFmtId="0" fontId="10" fillId="9" borderId="0" xfId="4" applyFont="1" applyFill="1" applyAlignment="1">
      <alignment horizontal="right" vertical="center"/>
    </xf>
    <xf numFmtId="173" fontId="21" fillId="2" borderId="0" xfId="11" applyNumberFormat="1" applyFont="1" applyFill="1" applyBorder="1" applyAlignment="1">
      <alignment vertical="center"/>
    </xf>
    <xf numFmtId="166" fontId="21" fillId="8" borderId="0" xfId="1" applyNumberFormat="1" applyFont="1" applyFill="1" applyBorder="1" applyAlignment="1">
      <alignment vertical="center"/>
    </xf>
    <xf numFmtId="166" fontId="21" fillId="7" borderId="0" xfId="1" applyNumberFormat="1" applyFont="1" applyFill="1" applyBorder="1" applyAlignment="1">
      <alignment vertical="center"/>
    </xf>
    <xf numFmtId="166" fontId="5" fillId="2" borderId="0" xfId="1" applyNumberFormat="1" applyFont="1" applyFill="1" applyBorder="1" applyAlignment="1">
      <alignment horizontal="justify" vertical="top"/>
    </xf>
    <xf numFmtId="0" fontId="22" fillId="0" borderId="0" xfId="0" applyFont="1" applyAlignment="1">
      <alignment horizontal="justify" vertical="top"/>
    </xf>
    <xf numFmtId="0" fontId="5" fillId="0" borderId="6" xfId="7" applyFont="1" applyBorder="1" applyAlignment="1">
      <alignment horizontal="left" vertical="center"/>
    </xf>
    <xf numFmtId="0" fontId="5" fillId="0" borderId="1" xfId="7" applyFont="1" applyBorder="1" applyAlignment="1">
      <alignment horizontal="left" vertical="center"/>
    </xf>
    <xf numFmtId="0" fontId="3" fillId="11" borderId="8" xfId="7" applyFont="1" applyFill="1" applyBorder="1" applyAlignment="1">
      <alignment horizontal="left" vertical="center"/>
    </xf>
    <xf numFmtId="0" fontId="3" fillId="11" borderId="9" xfId="7" applyFont="1" applyFill="1" applyBorder="1" applyAlignment="1">
      <alignment horizontal="left" vertical="center"/>
    </xf>
    <xf numFmtId="0" fontId="3" fillId="11" borderId="2" xfId="7" applyFont="1" applyFill="1" applyBorder="1" applyAlignment="1">
      <alignment horizontal="center" vertical="center"/>
    </xf>
    <xf numFmtId="0" fontId="3" fillId="11" borderId="3" xfId="7" applyFont="1" applyFill="1" applyBorder="1" applyAlignment="1">
      <alignment horizontal="center" vertical="center"/>
    </xf>
    <xf numFmtId="0" fontId="11" fillId="10" borderId="10" xfId="0" applyFont="1" applyFill="1" applyBorder="1" applyAlignment="1">
      <alignment horizontal="center"/>
    </xf>
    <xf numFmtId="0" fontId="11" fillId="10" borderId="11" xfId="0" applyFont="1" applyFill="1" applyBorder="1" applyAlignment="1">
      <alignment horizontal="center"/>
    </xf>
    <xf numFmtId="0" fontId="11" fillId="10" borderId="12" xfId="0" applyFont="1" applyFill="1" applyBorder="1" applyAlignment="1">
      <alignment horizontal="center"/>
    </xf>
    <xf numFmtId="0" fontId="11" fillId="10" borderId="13" xfId="0" applyFont="1" applyFill="1" applyBorder="1" applyAlignment="1">
      <alignment horizontal="center"/>
    </xf>
    <xf numFmtId="0" fontId="12" fillId="10" borderId="14" xfId="0" applyFont="1" applyFill="1" applyBorder="1"/>
    <xf numFmtId="0" fontId="12" fillId="10" borderId="15" xfId="0" applyFont="1" applyFill="1" applyBorder="1"/>
    <xf numFmtId="0" fontId="20" fillId="0" borderId="24" xfId="0" applyFont="1" applyBorder="1" applyAlignment="1">
      <alignment horizontal="center"/>
    </xf>
    <xf numFmtId="0" fontId="5" fillId="0" borderId="25" xfId="0" applyFont="1" applyBorder="1" applyAlignment="1">
      <alignment horizontal="center"/>
    </xf>
    <xf numFmtId="0" fontId="5" fillId="0" borderId="23" xfId="0" applyFont="1" applyBorder="1" applyAlignment="1">
      <alignment horizontal="center"/>
    </xf>
    <xf numFmtId="180" fontId="9" fillId="0" borderId="0" xfId="0" applyNumberFormat="1" applyFont="1" applyAlignment="1">
      <alignment horizontal="center"/>
    </xf>
  </cellXfs>
  <cellStyles count="27">
    <cellStyle name="Comma" xfId="1" builtinId="3"/>
    <cellStyle name="Comma 2" xfId="16" xr:uid="{600997A0-034D-4881-BB88-F96509B52EFC}"/>
    <cellStyle name="Comma 3" xfId="14" xr:uid="{46443CE8-6CC7-4E90-99EE-4B00924AA36C}"/>
    <cellStyle name="Comma 3 2" xfId="23" xr:uid="{92A31B3F-D0C2-4797-A921-EEFF595A71C4}"/>
    <cellStyle name="Currency 10 2 2" xfId="13" xr:uid="{CC9C0565-8B97-4EC4-B8F5-127B3459C470}"/>
    <cellStyle name="Currency 10 2 2 2" xfId="22" xr:uid="{588F6449-3668-46C8-A65C-2A41E1F40EA2}"/>
    <cellStyle name="Currency 11" xfId="6" xr:uid="{44283233-C9F5-4C0A-8A2A-A8192DFBAEAD}"/>
    <cellStyle name="Currency 11 2" xfId="18" xr:uid="{E923AEB4-45C5-4E0B-9248-DA80D0D1FA13}"/>
    <cellStyle name="Currency 2" xfId="10" xr:uid="{2AA3309F-A609-4150-8E88-7786CE3FCEBA}"/>
    <cellStyle name="Currency 2 2" xfId="20" xr:uid="{2555318E-87CA-4673-B11F-9178930A38A3}"/>
    <cellStyle name="Currency 2 2 2" xfId="15" xr:uid="{5534BB99-50F4-496A-BB5A-EF0BF11E93CA}"/>
    <cellStyle name="Currency 2 2 2 2" xfId="24" xr:uid="{D21863D3-348F-411B-A8BD-0483B6AABA19}"/>
    <cellStyle name="Currency 3 2 2" xfId="12" xr:uid="{979BE139-ACD8-4540-A4B6-4430107F4FBE}"/>
    <cellStyle name="Currency 3 2 2 2" xfId="21" xr:uid="{B89CA705-2A82-450B-9BF7-8A9A995283BE}"/>
    <cellStyle name="Currency 4" xfId="3" xr:uid="{348DABEE-3A53-4F0E-BD53-44741F3F695E}"/>
    <cellStyle name="Currency 4 2" xfId="17" xr:uid="{5885A416-B10B-4493-B96B-5D09D9A7CF2E}"/>
    <cellStyle name="Currency 4 3" xfId="8" xr:uid="{AE308981-01E3-4AEC-9D32-C988E174DC98}"/>
    <cellStyle name="Currency 4 3 2" xfId="19" xr:uid="{8D65E540-A0C2-41A2-8327-592A13707F84}"/>
    <cellStyle name="Normal" xfId="0" builtinId="0"/>
    <cellStyle name="Normal 12" xfId="2" xr:uid="{D1E8A6C0-06D9-4EEA-8DC9-8B6BB1C66B1D}"/>
    <cellStyle name="Normal 12 9" xfId="4" xr:uid="{E1312BB4-731D-4463-ADE5-58E193FBF96A}"/>
    <cellStyle name="Normal 138" xfId="7" xr:uid="{364454C8-DB5C-471D-A8F8-A9669DE82CB5}"/>
    <cellStyle name="Normal 2" xfId="25" xr:uid="{3954C9D9-A7B1-42A4-A0D9-CE8362566B72}"/>
    <cellStyle name="Normal 2 3" xfId="26" xr:uid="{724A0CB6-0974-4572-8C85-D4EB505B71D7}"/>
    <cellStyle name="Normal 89" xfId="5" xr:uid="{2FE4A145-6A14-4CDF-98A4-E48D1A40B095}"/>
    <cellStyle name="Percent" xfId="11" builtinId="5"/>
    <cellStyle name="Percent 4" xfId="9" xr:uid="{B6AA54C1-3426-4934-9B78-B48188C40719}"/>
  </cellStyles>
  <dxfs count="0"/>
  <tableStyles count="0" defaultTableStyle="TableStyleMedium2" defaultPivotStyle="PivotStyleLight16"/>
  <colors>
    <mruColors>
      <color rgb="FF00FFFF"/>
      <color rgb="FF0000CC"/>
      <color rgb="FFF3D8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358140</xdr:colOff>
      <xdr:row>81</xdr:row>
      <xdr:rowOff>68580</xdr:rowOff>
    </xdr:from>
    <xdr:to>
      <xdr:col>16</xdr:col>
      <xdr:colOff>464820</xdr:colOff>
      <xdr:row>82</xdr:row>
      <xdr:rowOff>45720</xdr:rowOff>
    </xdr:to>
    <xdr:sp macro="" textlink="">
      <xdr:nvSpPr>
        <xdr:cNvPr id="2" name="Right Brace 1">
          <a:extLst>
            <a:ext uri="{FF2B5EF4-FFF2-40B4-BE49-F238E27FC236}">
              <a16:creationId xmlns:a16="http://schemas.microsoft.com/office/drawing/2014/main" id="{945A1038-0D14-429D-B87B-B32FB5FD1A3F}"/>
            </a:ext>
          </a:extLst>
        </xdr:cNvPr>
        <xdr:cNvSpPr/>
      </xdr:nvSpPr>
      <xdr:spPr>
        <a:xfrm rot="5400000">
          <a:off x="9170670" y="13994130"/>
          <a:ext cx="160020" cy="193548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b="1"/>
        </a:p>
      </xdr:txBody>
    </xdr:sp>
    <xdr:clientData/>
  </xdr:twoCellAnchor>
  <xdr:twoCellAnchor>
    <xdr:from>
      <xdr:col>5</xdr:col>
      <xdr:colOff>312420</xdr:colOff>
      <xdr:row>78</xdr:row>
      <xdr:rowOff>38100</xdr:rowOff>
    </xdr:from>
    <xdr:to>
      <xdr:col>5</xdr:col>
      <xdr:colOff>320040</xdr:colOff>
      <xdr:row>79</xdr:row>
      <xdr:rowOff>160020</xdr:rowOff>
    </xdr:to>
    <xdr:cxnSp macro="">
      <xdr:nvCxnSpPr>
        <xdr:cNvPr id="3" name="Straight Arrow Connector 2">
          <a:extLst>
            <a:ext uri="{FF2B5EF4-FFF2-40B4-BE49-F238E27FC236}">
              <a16:creationId xmlns:a16="http://schemas.microsoft.com/office/drawing/2014/main" id="{DA8160B5-E5A6-4DAB-BD60-9DF1F32002AE}"/>
            </a:ext>
          </a:extLst>
        </xdr:cNvPr>
        <xdr:cNvCxnSpPr/>
      </xdr:nvCxnSpPr>
      <xdr:spPr>
        <a:xfrm flipV="1">
          <a:off x="3360420" y="14302740"/>
          <a:ext cx="7620" cy="304800"/>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U001%20-%20DRAFT%20BUDGET%20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E"/>
      <sheetName val="LHA"/>
      <sheetName val="TENANTS"/>
      <sheetName val="Payroll(22)"/>
      <sheetName val="FAR"/>
      <sheetName val="TB21"/>
      <sheetName val="WBC OFFER 2022"/>
    </sheetNames>
    <sheetDataSet>
      <sheetData sheetId="0">
        <row r="4">
          <cell r="C4" t="str">
            <v>BUDGET (YTD) 2021/22</v>
          </cell>
          <cell r="D4" t="str">
            <v>BUDGET (YTD) 2022/23</v>
          </cell>
          <cell r="E4" t="str">
            <v xml:space="preserve">
VARIANCE            Budget 2021 vs Budget 2022</v>
          </cell>
        </row>
      </sheetData>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Andrew Simmons" id="{6F779828-D6FE-4FE7-9D12-61EBD6F0E3C5}" userId="S::Andrew.Simmons@knoxcropper.com::6e5de75c-6388-4eda-927c-62b17184737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5" dT="2021-08-17T15:48:29.09" personId="{6F779828-D6FE-4FE7-9D12-61EBD6F0E3C5}" id="{DEE50EBF-A526-476E-A086-10E8CF27BC77}">
    <text>Represents cost of keys sold - separate income recorded, not a service chargeable item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5F77-84A6-408E-9491-545BDDC77437}">
  <sheetPr>
    <tabColor rgb="FF7030A0"/>
  </sheetPr>
  <dimension ref="A1:Q56"/>
  <sheetViews>
    <sheetView view="pageBreakPreview" zoomScaleNormal="100" zoomScaleSheetLayoutView="100" workbookViewId="0">
      <pane ySplit="4" topLeftCell="A19" activePane="bottomLeft" state="frozen"/>
      <selection activeCell="E13" sqref="E13"/>
      <selection pane="bottomLeft" activeCell="D29" sqref="D29"/>
    </sheetView>
  </sheetViews>
  <sheetFormatPr defaultColWidth="8.88671875" defaultRowHeight="13.8" customHeight="1" outlineLevelRow="1" x14ac:dyDescent="0.3"/>
  <cols>
    <col min="1" max="1" width="55" style="52" customWidth="1"/>
    <col min="2" max="2" width="11.88671875" style="65" customWidth="1"/>
    <col min="3" max="3" width="8.44140625" style="227" bestFit="1" customWidth="1"/>
    <col min="4" max="4" width="8.44140625" style="67" bestFit="1" customWidth="1"/>
    <col min="5" max="5" width="14" style="66" bestFit="1" customWidth="1"/>
    <col min="6" max="6" width="9.44140625" style="1" bestFit="1" customWidth="1"/>
    <col min="7" max="15" width="12.77734375" style="1" customWidth="1"/>
    <col min="16" max="16" width="9.88671875" style="2" bestFit="1" customWidth="1"/>
    <col min="17" max="17" width="10" style="2" bestFit="1" customWidth="1"/>
    <col min="18" max="16384" width="8.88671875" style="2"/>
  </cols>
  <sheetData>
    <row r="1" spans="1:17" ht="13.8" customHeight="1" x14ac:dyDescent="0.3">
      <c r="A1" s="50" t="s">
        <v>0</v>
      </c>
    </row>
    <row r="2" spans="1:17" ht="13.8" customHeight="1" x14ac:dyDescent="0.3">
      <c r="A2" s="51" t="s">
        <v>544</v>
      </c>
    </row>
    <row r="3" spans="1:17" ht="13.8" customHeight="1" x14ac:dyDescent="0.3">
      <c r="A3" s="50" t="s">
        <v>273</v>
      </c>
    </row>
    <row r="4" spans="1:17" s="197" customFormat="1" ht="69" x14ac:dyDescent="0.3">
      <c r="A4" s="192" t="s">
        <v>124</v>
      </c>
      <c r="B4" s="193" t="s">
        <v>354</v>
      </c>
      <c r="C4" s="228" t="s">
        <v>272</v>
      </c>
      <c r="D4" s="195" t="s">
        <v>518</v>
      </c>
      <c r="E4" s="194" t="s">
        <v>545</v>
      </c>
      <c r="F4" s="196" t="s">
        <v>125</v>
      </c>
      <c r="G4" s="196"/>
      <c r="H4" s="196"/>
      <c r="I4" s="196"/>
      <c r="J4" s="196"/>
      <c r="K4" s="196"/>
      <c r="L4" s="196"/>
      <c r="M4" s="196"/>
      <c r="N4" s="196"/>
      <c r="O4" s="196"/>
    </row>
    <row r="5" spans="1:17" ht="13.8" customHeight="1" x14ac:dyDescent="0.3">
      <c r="A5" s="54" t="s">
        <v>126</v>
      </c>
      <c r="B5" s="68">
        <f>LHA!D8</f>
        <v>194361.19</v>
      </c>
      <c r="C5" s="187">
        <f>LHA!E8</f>
        <v>194361</v>
      </c>
      <c r="D5" s="70">
        <f>LHA!F8</f>
        <v>204079.24950000003</v>
      </c>
      <c r="E5" s="64">
        <f>IFERROR((D5-C5),"")</f>
        <v>9718.2495000000345</v>
      </c>
      <c r="F5" s="36">
        <f>IFERROR((D5-C5)/C5,"")</f>
        <v>5.0001026440489781E-2</v>
      </c>
      <c r="G5" s="36"/>
      <c r="H5" s="36"/>
      <c r="I5" s="36"/>
      <c r="J5" s="36"/>
      <c r="K5" s="36"/>
      <c r="L5" s="36"/>
      <c r="M5" s="36"/>
      <c r="N5" s="36"/>
      <c r="O5" s="36"/>
    </row>
    <row r="6" spans="1:17" ht="13.8" customHeight="1" x14ac:dyDescent="0.3">
      <c r="A6" s="54" t="s">
        <v>82</v>
      </c>
      <c r="B6" s="68">
        <f>TENANTS!D12</f>
        <v>57025.329999999994</v>
      </c>
      <c r="C6" s="187">
        <f>TENANTS!E12</f>
        <v>55924.234300000004</v>
      </c>
      <c r="D6" s="70">
        <f>TENANTS!F12</f>
        <v>59876.596500000014</v>
      </c>
      <c r="E6" s="64">
        <f t="shared" ref="E6:E16" si="0">IFERROR((D6-C6),"")</f>
        <v>3952.3622000000105</v>
      </c>
      <c r="F6" s="36">
        <f>IFERROR((D6-C6)/C6,"")</f>
        <v>7.0673514791422185E-2</v>
      </c>
      <c r="G6" s="36"/>
      <c r="H6" s="36"/>
      <c r="I6" s="36"/>
      <c r="J6" s="36"/>
      <c r="K6" s="36"/>
      <c r="L6" s="36"/>
      <c r="M6" s="36"/>
      <c r="N6" s="36"/>
      <c r="O6" s="36"/>
    </row>
    <row r="7" spans="1:17" s="191" customFormat="1" ht="13.8" customHeight="1" thickBot="1" x14ac:dyDescent="0.35">
      <c r="A7" s="234" t="s">
        <v>83</v>
      </c>
      <c r="B7" s="247">
        <f>SUM(B5:B6)</f>
        <v>251386.52</v>
      </c>
      <c r="C7" s="248">
        <f t="shared" ref="C7:D7" si="1">SUM(C5:C6)</f>
        <v>250285.23430000001</v>
      </c>
      <c r="D7" s="249">
        <f t="shared" si="1"/>
        <v>263955.84600000002</v>
      </c>
      <c r="E7" s="250">
        <f t="shared" si="0"/>
        <v>13670.611700000009</v>
      </c>
      <c r="F7" s="235">
        <f>IFERROR((D7-C7)/C7,"")</f>
        <v>5.4620128663339242E-2</v>
      </c>
      <c r="G7" s="235"/>
      <c r="H7" s="235"/>
      <c r="I7" s="235"/>
      <c r="J7" s="235"/>
      <c r="K7" s="235"/>
      <c r="L7" s="235"/>
      <c r="M7" s="235"/>
      <c r="N7" s="235"/>
      <c r="O7" s="235"/>
      <c r="P7" s="165">
        <f>C7/4</f>
        <v>62571.308575000003</v>
      </c>
    </row>
    <row r="8" spans="1:17" ht="13.8" customHeight="1" thickTop="1" x14ac:dyDescent="0.3">
      <c r="A8" s="54"/>
      <c r="B8" s="68"/>
      <c r="C8" s="187"/>
      <c r="D8" s="70"/>
      <c r="E8" s="64"/>
      <c r="F8" s="4"/>
      <c r="G8" s="4"/>
      <c r="H8" s="4"/>
      <c r="I8" s="4"/>
      <c r="J8" s="4"/>
      <c r="K8" s="4"/>
      <c r="L8" s="4"/>
      <c r="M8" s="4"/>
      <c r="N8" s="4"/>
      <c r="O8" s="4"/>
    </row>
    <row r="9" spans="1:17" ht="13.8" customHeight="1" x14ac:dyDescent="0.3">
      <c r="A9" s="54" t="s">
        <v>29</v>
      </c>
      <c r="B9" s="68">
        <f>B26</f>
        <v>67985.640000000014</v>
      </c>
      <c r="C9" s="187">
        <f t="shared" ref="C9:D9" si="2">C26</f>
        <v>82700</v>
      </c>
      <c r="D9" s="70">
        <f t="shared" si="2"/>
        <v>97848.7</v>
      </c>
      <c r="E9" s="64">
        <f t="shared" si="0"/>
        <v>15148.699999999997</v>
      </c>
      <c r="F9" s="36">
        <f t="shared" ref="F9:F16" si="3">IFERROR((D9-C9)/C9,"")</f>
        <v>0.18317654171704953</v>
      </c>
      <c r="G9" s="4"/>
      <c r="H9" s="4"/>
      <c r="I9" s="4"/>
      <c r="J9" s="4"/>
      <c r="K9" s="4"/>
      <c r="L9" s="4"/>
      <c r="M9" s="4"/>
      <c r="N9" s="4"/>
      <c r="O9" s="4"/>
    </row>
    <row r="10" spans="1:17" ht="13.8" customHeight="1" x14ac:dyDescent="0.3">
      <c r="A10" s="314" t="s">
        <v>40</v>
      </c>
      <c r="B10" s="68">
        <f>LHA!D50</f>
        <v>119641.84000000001</v>
      </c>
      <c r="C10" s="187">
        <f>LHA!E50</f>
        <v>117981.27</v>
      </c>
      <c r="D10" s="70">
        <f>LHA!F50</f>
        <v>128615.2846</v>
      </c>
      <c r="E10" s="64">
        <f t="shared" si="0"/>
        <v>10634.014599999995</v>
      </c>
      <c r="F10" s="36">
        <f t="shared" si="3"/>
        <v>9.0133074512589964E-2</v>
      </c>
      <c r="G10" s="4"/>
      <c r="H10" s="4"/>
      <c r="I10" s="4"/>
      <c r="J10" s="4"/>
      <c r="K10" s="4"/>
      <c r="L10" s="4"/>
      <c r="M10" s="4"/>
      <c r="N10" s="4"/>
      <c r="O10" s="4"/>
    </row>
    <row r="11" spans="1:17" ht="13.8" customHeight="1" outlineLevel="1" x14ac:dyDescent="0.3">
      <c r="A11" s="312" t="s">
        <v>41</v>
      </c>
      <c r="B11" s="68">
        <f>LHA!D51</f>
        <v>14595.025199999998</v>
      </c>
      <c r="C11" s="187">
        <f>LHA!E51</f>
        <v>14522.405099999998</v>
      </c>
      <c r="D11" s="70">
        <f>LHA!F51</f>
        <v>16259.329086</v>
      </c>
      <c r="E11" s="64">
        <f t="shared" si="0"/>
        <v>1736.9239860000016</v>
      </c>
      <c r="F11" s="36">
        <f t="shared" si="3"/>
        <v>0.11960305294059052</v>
      </c>
      <c r="G11" s="4"/>
      <c r="H11" s="4"/>
      <c r="I11" s="4"/>
      <c r="J11" s="4"/>
      <c r="K11" s="4"/>
      <c r="L11" s="4"/>
      <c r="M11" s="4"/>
      <c r="N11" s="4"/>
      <c r="O11" s="4"/>
    </row>
    <row r="12" spans="1:17" ht="13.8" customHeight="1" outlineLevel="1" x14ac:dyDescent="0.3">
      <c r="A12" s="312" t="s">
        <v>42</v>
      </c>
      <c r="B12" s="68">
        <f>B10-B11</f>
        <v>105046.81480000001</v>
      </c>
      <c r="C12" s="187">
        <f>C10-C11</f>
        <v>103458.8649</v>
      </c>
      <c r="D12" s="70">
        <f>D10-D11</f>
        <v>112355.955514</v>
      </c>
      <c r="E12" s="64">
        <f t="shared" si="0"/>
        <v>8897.0906140000006</v>
      </c>
      <c r="F12" s="36">
        <f t="shared" si="3"/>
        <v>8.5996406616287949E-2</v>
      </c>
      <c r="G12" s="4"/>
      <c r="H12" s="4"/>
      <c r="I12" s="4"/>
      <c r="J12" s="4"/>
      <c r="K12" s="4"/>
      <c r="L12" s="4"/>
      <c r="M12" s="4"/>
      <c r="N12" s="4"/>
      <c r="O12" s="4"/>
    </row>
    <row r="13" spans="1:17" ht="13.8" customHeight="1" x14ac:dyDescent="0.3">
      <c r="A13" s="54" t="s">
        <v>68</v>
      </c>
      <c r="B13" s="68">
        <f>B28</f>
        <v>21260.870000000003</v>
      </c>
      <c r="C13" s="187">
        <f t="shared" ref="C13:D13" si="4">C28</f>
        <v>37023</v>
      </c>
      <c r="D13" s="70">
        <f t="shared" si="4"/>
        <v>34913.208500000001</v>
      </c>
      <c r="E13" s="64">
        <f t="shared" si="0"/>
        <v>-2109.7914999999994</v>
      </c>
      <c r="F13" s="36">
        <f t="shared" si="3"/>
        <v>-5.6985968181940939E-2</v>
      </c>
      <c r="G13" s="4"/>
      <c r="H13" s="4"/>
      <c r="I13" s="4"/>
      <c r="J13" s="4"/>
      <c r="K13" s="4"/>
      <c r="L13" s="4"/>
      <c r="M13" s="4"/>
      <c r="N13" s="4"/>
      <c r="O13" s="4"/>
    </row>
    <row r="14" spans="1:17" ht="13.8" customHeight="1" x14ac:dyDescent="0.3">
      <c r="A14" s="54" t="s">
        <v>96</v>
      </c>
      <c r="B14" s="68">
        <f>TENANTS!D22</f>
        <v>14581.849999999999</v>
      </c>
      <c r="C14" s="187">
        <f>TENANTS!E22</f>
        <v>26500</v>
      </c>
      <c r="D14" s="70">
        <f>TENANTS!F22</f>
        <v>28980.5</v>
      </c>
      <c r="E14" s="64">
        <f t="shared" si="0"/>
        <v>2480.5</v>
      </c>
      <c r="F14" s="36">
        <f t="shared" si="3"/>
        <v>9.3603773584905667E-2</v>
      </c>
      <c r="G14" s="4"/>
      <c r="H14" s="4"/>
      <c r="I14" s="4"/>
      <c r="J14" s="4"/>
      <c r="K14" s="4"/>
      <c r="L14" s="4"/>
      <c r="M14" s="4"/>
      <c r="N14" s="4"/>
      <c r="O14" s="4"/>
    </row>
    <row r="15" spans="1:17" ht="13.8" customHeight="1" x14ac:dyDescent="0.3">
      <c r="A15" s="54" t="s">
        <v>88</v>
      </c>
      <c r="B15" s="68">
        <f>B9+B10+B13+B14</f>
        <v>223470.20000000004</v>
      </c>
      <c r="C15" s="187">
        <f>C9+C10+C13+C14</f>
        <v>264204.27</v>
      </c>
      <c r="D15" s="70">
        <f>D9+D10+D13+D14</f>
        <v>290357.69310000003</v>
      </c>
      <c r="E15" s="64">
        <f t="shared" si="0"/>
        <v>26153.423100000015</v>
      </c>
      <c r="F15" s="36">
        <f t="shared" si="3"/>
        <v>9.8989403539920126E-2</v>
      </c>
      <c r="G15" s="4"/>
      <c r="H15" s="4"/>
      <c r="I15" s="4"/>
      <c r="J15" s="4"/>
      <c r="K15" s="4"/>
      <c r="L15" s="4"/>
      <c r="M15" s="4"/>
      <c r="N15" s="4"/>
      <c r="O15" s="4"/>
    </row>
    <row r="16" spans="1:17" s="191" customFormat="1" ht="13.8" customHeight="1" thickBot="1" x14ac:dyDescent="0.35">
      <c r="A16" s="188" t="s">
        <v>85</v>
      </c>
      <c r="B16" s="251">
        <f t="shared" ref="B16" si="5">B7-B15</f>
        <v>27916.319999999949</v>
      </c>
      <c r="C16" s="252">
        <f>C7-C15</f>
        <v>-13919.035700000008</v>
      </c>
      <c r="D16" s="253">
        <f>D7-D15</f>
        <v>-26401.847100000014</v>
      </c>
      <c r="E16" s="250">
        <f t="shared" si="0"/>
        <v>-12482.811400000006</v>
      </c>
      <c r="F16" s="235">
        <f t="shared" si="3"/>
        <v>0.8968158189291805</v>
      </c>
      <c r="G16" s="189"/>
      <c r="H16" s="189"/>
      <c r="I16" s="189"/>
      <c r="J16" s="189"/>
      <c r="K16" s="189"/>
      <c r="L16" s="189"/>
      <c r="M16" s="189"/>
      <c r="N16" s="189"/>
      <c r="O16" s="189"/>
      <c r="P16" s="190">
        <f>C16+21997.52</f>
        <v>8078.4842999999928</v>
      </c>
      <c r="Q16" s="165">
        <f>C15/4</f>
        <v>66051.067500000005</v>
      </c>
    </row>
    <row r="17" spans="1:16" ht="13.8" customHeight="1" thickTop="1" x14ac:dyDescent="0.3">
      <c r="A17" s="307"/>
      <c r="F17" s="4" t="str">
        <f>IFERROR((C17-#REF!)/#REF!,"")</f>
        <v/>
      </c>
      <c r="G17" s="4"/>
      <c r="H17" s="4"/>
      <c r="I17" s="4"/>
      <c r="J17" s="4"/>
      <c r="K17" s="4"/>
      <c r="L17" s="4"/>
      <c r="M17" s="4"/>
      <c r="N17" s="4"/>
      <c r="O17" s="4"/>
    </row>
    <row r="18" spans="1:16" ht="13.8" customHeight="1" x14ac:dyDescent="0.3">
      <c r="A18" s="307"/>
      <c r="F18" s="4" t="str">
        <f>IFERROR((C18-#REF!)/#REF!,"")</f>
        <v/>
      </c>
      <c r="G18" s="4"/>
      <c r="H18" s="4"/>
      <c r="I18" s="4"/>
      <c r="J18" s="4"/>
      <c r="K18" s="4"/>
      <c r="L18" s="4"/>
      <c r="M18" s="4"/>
      <c r="N18" s="4"/>
      <c r="O18" s="4"/>
    </row>
    <row r="19" spans="1:16" ht="13.8" customHeight="1" x14ac:dyDescent="0.3">
      <c r="A19" s="307"/>
      <c r="F19" s="4" t="str">
        <f>IFERROR((C19-#REF!)/#REF!,"")</f>
        <v/>
      </c>
      <c r="G19" s="4"/>
      <c r="H19" s="4"/>
      <c r="I19" s="4"/>
      <c r="J19" s="4"/>
      <c r="K19" s="4"/>
      <c r="L19" s="4"/>
      <c r="M19" s="4"/>
      <c r="N19" s="4"/>
      <c r="O19" s="4"/>
    </row>
    <row r="20" spans="1:16" ht="13.8" customHeight="1" x14ac:dyDescent="0.3">
      <c r="A20" s="308" t="str">
        <f>A2</f>
        <v>BUDGET SUMMARY FOR 2022/23</v>
      </c>
      <c r="F20" s="4" t="str">
        <f>IFERROR((C20-#REF!)/#REF!,"")</f>
        <v/>
      </c>
      <c r="G20" s="4"/>
      <c r="H20" s="4"/>
      <c r="I20" s="4"/>
      <c r="J20" s="4"/>
      <c r="K20" s="4"/>
      <c r="L20" s="4"/>
      <c r="M20" s="4"/>
      <c r="N20" s="4"/>
      <c r="O20" s="4"/>
    </row>
    <row r="21" spans="1:16" ht="13.8" customHeight="1" x14ac:dyDescent="0.3">
      <c r="A21" s="309" t="s">
        <v>274</v>
      </c>
      <c r="F21" s="4" t="str">
        <f>IFERROR((C21-#REF!)/#REF!,"")</f>
        <v/>
      </c>
      <c r="G21" s="4"/>
      <c r="H21" s="4"/>
      <c r="I21" s="4"/>
      <c r="J21" s="4"/>
      <c r="K21" s="4"/>
      <c r="L21" s="4"/>
      <c r="M21" s="4"/>
      <c r="N21" s="4"/>
      <c r="O21" s="4"/>
    </row>
    <row r="22" spans="1:16" s="191" customFormat="1" ht="69" x14ac:dyDescent="0.3">
      <c r="A22" s="310" t="s">
        <v>127</v>
      </c>
      <c r="B22" s="193" t="str">
        <f>B4</f>
        <v>ACTUAL (YTD)       2020/21</v>
      </c>
      <c r="C22" s="228" t="str">
        <f>C4</f>
        <v>BUDGET (YTD) 2021/22</v>
      </c>
      <c r="D22" s="195" t="str">
        <f>D4</f>
        <v>BUDGET (YTD) 2022/23</v>
      </c>
      <c r="E22" s="194" t="str">
        <f>E4</f>
        <v xml:space="preserve">
VARIANCE            Budget 2021/22 vs Budget 2022/23</v>
      </c>
      <c r="F22" s="189" t="str">
        <f>IFERROR((C22-#REF!)/#REF!,"")</f>
        <v/>
      </c>
      <c r="G22" s="189"/>
      <c r="H22" s="189"/>
      <c r="I22" s="189"/>
      <c r="J22" s="189"/>
      <c r="K22" s="189"/>
      <c r="L22" s="189"/>
      <c r="M22" s="189"/>
      <c r="N22" s="189"/>
      <c r="O22" s="189"/>
    </row>
    <row r="23" spans="1:16" ht="13.8" customHeight="1" x14ac:dyDescent="0.3">
      <c r="A23" s="3" t="s">
        <v>81</v>
      </c>
      <c r="B23" s="68">
        <f>LHA!D8</f>
        <v>194361.19</v>
      </c>
      <c r="C23" s="187">
        <f>LHA!E8</f>
        <v>194361</v>
      </c>
      <c r="D23" s="70">
        <f>LHA!F8</f>
        <v>204079.24950000003</v>
      </c>
      <c r="E23" s="64">
        <f t="shared" ref="E23:E29" si="6">IFERROR((D23-C23),"")</f>
        <v>9718.2495000000345</v>
      </c>
      <c r="F23" s="36">
        <f t="shared" ref="F23:F31" si="7">IFERROR((D23-C23)/C23,"")</f>
        <v>5.0001026440489781E-2</v>
      </c>
      <c r="G23" s="4"/>
      <c r="H23" s="4"/>
      <c r="I23" s="4"/>
      <c r="J23" s="4"/>
      <c r="K23" s="4"/>
      <c r="L23" s="4"/>
      <c r="M23" s="4"/>
      <c r="N23" s="4"/>
      <c r="O23" s="4"/>
    </row>
    <row r="24" spans="1:16" ht="13.8" customHeight="1" x14ac:dyDescent="0.3">
      <c r="A24" s="3" t="s">
        <v>90</v>
      </c>
      <c r="B24" s="68">
        <f>SUM(B23:B23)</f>
        <v>194361.19</v>
      </c>
      <c r="C24" s="187">
        <f>SUM(C23:C23)</f>
        <v>194361</v>
      </c>
      <c r="D24" s="70">
        <f>SUM(D23:D23)</f>
        <v>204079.24950000003</v>
      </c>
      <c r="E24" s="64">
        <f t="shared" si="6"/>
        <v>9718.2495000000345</v>
      </c>
      <c r="F24" s="36">
        <f t="shared" si="7"/>
        <v>5.0001026440489781E-2</v>
      </c>
      <c r="G24" s="4"/>
      <c r="H24" s="4"/>
      <c r="I24" s="4"/>
      <c r="J24" s="4"/>
      <c r="K24" s="4"/>
      <c r="L24" s="4"/>
      <c r="M24" s="4"/>
      <c r="N24" s="4"/>
      <c r="O24" s="4"/>
    </row>
    <row r="25" spans="1:16" ht="13.8" customHeight="1" x14ac:dyDescent="0.3">
      <c r="A25" s="3" t="s">
        <v>84</v>
      </c>
      <c r="B25" s="68"/>
      <c r="C25" s="187"/>
      <c r="D25" s="70"/>
      <c r="E25" s="69"/>
      <c r="F25" s="36" t="str">
        <f t="shared" si="7"/>
        <v/>
      </c>
      <c r="G25" s="4"/>
      <c r="H25" s="4"/>
      <c r="I25" s="4"/>
      <c r="J25" s="4"/>
      <c r="K25" s="4"/>
      <c r="L25" s="4"/>
      <c r="M25" s="4"/>
      <c r="N25" s="4"/>
      <c r="O25" s="4"/>
    </row>
    <row r="26" spans="1:16" ht="13.8" customHeight="1" x14ac:dyDescent="0.3">
      <c r="A26" s="313" t="s">
        <v>29</v>
      </c>
      <c r="B26" s="68">
        <f>LHA!D32</f>
        <v>67985.640000000014</v>
      </c>
      <c r="C26" s="187">
        <f>LHA!E32</f>
        <v>82700</v>
      </c>
      <c r="D26" s="70">
        <f>LHA!F32</f>
        <v>97848.7</v>
      </c>
      <c r="E26" s="64">
        <f t="shared" si="6"/>
        <v>15148.699999999997</v>
      </c>
      <c r="F26" s="36">
        <f t="shared" si="7"/>
        <v>0.18317654171704953</v>
      </c>
      <c r="G26" s="4"/>
      <c r="H26" s="4"/>
      <c r="I26" s="4"/>
      <c r="J26" s="4"/>
      <c r="K26" s="4"/>
      <c r="L26" s="4"/>
      <c r="M26" s="4"/>
      <c r="N26" s="4"/>
      <c r="O26" s="4"/>
    </row>
    <row r="27" spans="1:16" ht="13.8" customHeight="1" x14ac:dyDescent="0.3">
      <c r="A27" s="313" t="s">
        <v>89</v>
      </c>
      <c r="B27" s="68">
        <f>LHA!D52</f>
        <v>105046.81480000001</v>
      </c>
      <c r="C27" s="187">
        <f>LHA!E52</f>
        <v>103458.8649</v>
      </c>
      <c r="D27" s="70">
        <f>LHA!F52</f>
        <v>112355.955514</v>
      </c>
      <c r="E27" s="64">
        <f t="shared" si="6"/>
        <v>8897.0906140000006</v>
      </c>
      <c r="F27" s="36">
        <f t="shared" si="7"/>
        <v>8.5996406616287949E-2</v>
      </c>
      <c r="G27" s="4"/>
      <c r="H27" s="4"/>
      <c r="I27" s="4"/>
      <c r="J27" s="4"/>
      <c r="K27" s="4"/>
      <c r="L27" s="4"/>
      <c r="M27" s="4"/>
      <c r="N27" s="4"/>
      <c r="O27" s="4"/>
    </row>
    <row r="28" spans="1:16" ht="13.8" customHeight="1" x14ac:dyDescent="0.3">
      <c r="A28" s="313" t="s">
        <v>68</v>
      </c>
      <c r="B28" s="68">
        <f>LHA!D86</f>
        <v>21260.870000000003</v>
      </c>
      <c r="C28" s="187">
        <f>LHA!E86</f>
        <v>37023</v>
      </c>
      <c r="D28" s="70">
        <f>LHA!F86</f>
        <v>34913.208500000001</v>
      </c>
      <c r="E28" s="64">
        <f t="shared" si="6"/>
        <v>-2109.7914999999994</v>
      </c>
      <c r="F28" s="36">
        <f t="shared" si="7"/>
        <v>-5.6985968181940939E-2</v>
      </c>
      <c r="G28" s="4"/>
      <c r="H28" s="4"/>
      <c r="I28" s="4"/>
      <c r="J28" s="4"/>
      <c r="K28" s="4"/>
      <c r="L28" s="4"/>
      <c r="M28" s="4"/>
      <c r="N28" s="4"/>
      <c r="O28" s="4"/>
    </row>
    <row r="29" spans="1:16" ht="13.8" customHeight="1" x14ac:dyDescent="0.3">
      <c r="A29" s="3" t="s">
        <v>91</v>
      </c>
      <c r="B29" s="68">
        <f>SUM(B26:B28)</f>
        <v>194293.3248</v>
      </c>
      <c r="C29" s="187">
        <f>SUM(C26:C28)</f>
        <v>223181.86489999999</v>
      </c>
      <c r="D29" s="70">
        <f>SUM(D26:D28)</f>
        <v>245117.86401399999</v>
      </c>
      <c r="E29" s="64">
        <f t="shared" si="6"/>
        <v>21935.999114000006</v>
      </c>
      <c r="F29" s="36">
        <f t="shared" si="7"/>
        <v>9.8287551830560968E-2</v>
      </c>
      <c r="G29" s="4"/>
      <c r="H29" s="4"/>
      <c r="I29" s="4"/>
      <c r="J29" s="4"/>
      <c r="K29" s="4"/>
      <c r="L29" s="4"/>
      <c r="M29" s="4"/>
      <c r="N29" s="4"/>
      <c r="O29" s="4"/>
    </row>
    <row r="30" spans="1:16" ht="13.8" customHeight="1" x14ac:dyDescent="0.3">
      <c r="A30" s="3" t="str">
        <f>TENANTS!C24</f>
        <v>ADD: 15% Shared costs</v>
      </c>
      <c r="B30" s="68">
        <f>B43</f>
        <v>30482.679727872001</v>
      </c>
      <c r="C30" s="187">
        <f>C43</f>
        <v>35015.002784160999</v>
      </c>
      <c r="D30" s="70">
        <f>D43</f>
        <v>38456.541685156459</v>
      </c>
      <c r="E30" s="64">
        <f t="shared" ref="E30" si="8">IFERROR((D30-C30),"")</f>
        <v>3441.5389009954597</v>
      </c>
      <c r="F30" s="36">
        <f t="shared" ref="F30" si="9">IFERROR((D30-C30)/C30,"")</f>
        <v>9.828755183056094E-2</v>
      </c>
      <c r="G30" s="4"/>
      <c r="H30" s="4"/>
      <c r="I30" s="4"/>
      <c r="J30" s="4"/>
      <c r="K30" s="4"/>
      <c r="L30" s="4"/>
      <c r="M30" s="4"/>
      <c r="N30" s="4"/>
      <c r="O30" s="4"/>
    </row>
    <row r="31" spans="1:16" s="191" customFormat="1" ht="13.8" customHeight="1" thickBot="1" x14ac:dyDescent="0.35">
      <c r="A31" s="201" t="s">
        <v>85</v>
      </c>
      <c r="B31" s="251">
        <f>B24-B29+B30</f>
        <v>30550.544927872001</v>
      </c>
      <c r="C31" s="251">
        <f t="shared" ref="C31:E31" si="10">C24-C29+C30</f>
        <v>6194.1378841610131</v>
      </c>
      <c r="D31" s="251">
        <f t="shared" si="10"/>
        <v>-2582.0728288434984</v>
      </c>
      <c r="E31" s="251">
        <f t="shared" si="10"/>
        <v>-8776.2107130045115</v>
      </c>
      <c r="F31" s="235">
        <f t="shared" si="7"/>
        <v>-1.4168574993214309</v>
      </c>
      <c r="G31" s="189"/>
      <c r="H31" s="189"/>
      <c r="I31" s="189"/>
      <c r="J31" s="189"/>
      <c r="K31" s="189"/>
      <c r="L31" s="189"/>
      <c r="M31" s="189"/>
      <c r="N31" s="189"/>
      <c r="O31" s="189"/>
      <c r="P31" s="190" t="e">
        <f>#REF!-C31</f>
        <v>#REF!</v>
      </c>
    </row>
    <row r="32" spans="1:16" ht="13.8" customHeight="1" thickTop="1" x14ac:dyDescent="0.3">
      <c r="A32" s="307"/>
      <c r="C32" s="229"/>
      <c r="D32" s="71"/>
      <c r="F32" s="4" t="str">
        <f>IFERROR((C32-#REF!)/#REF!,"")</f>
        <v/>
      </c>
      <c r="G32" s="4"/>
      <c r="H32" s="4"/>
      <c r="I32" s="4"/>
      <c r="J32" s="4"/>
      <c r="K32" s="4"/>
      <c r="L32" s="4"/>
      <c r="M32" s="4"/>
      <c r="N32" s="4"/>
      <c r="O32" s="4"/>
    </row>
    <row r="33" spans="1:16" ht="13.8" customHeight="1" x14ac:dyDescent="0.3">
      <c r="A33" s="307"/>
      <c r="F33" s="4" t="str">
        <f>IFERROR((C33-#REF!)/#REF!,"")</f>
        <v/>
      </c>
      <c r="G33" s="4"/>
      <c r="H33" s="4"/>
      <c r="I33" s="4"/>
      <c r="J33" s="4"/>
      <c r="K33" s="4"/>
      <c r="L33" s="4"/>
      <c r="M33" s="4"/>
      <c r="N33" s="4"/>
      <c r="O33" s="4"/>
    </row>
    <row r="34" spans="1:16" ht="13.8" customHeight="1" x14ac:dyDescent="0.3">
      <c r="A34" s="307"/>
      <c r="F34" s="4" t="str">
        <f>IFERROR((C34-#REF!)/#REF!,"")</f>
        <v/>
      </c>
      <c r="G34" s="4"/>
      <c r="H34" s="4"/>
      <c r="I34" s="4"/>
      <c r="J34" s="4"/>
      <c r="K34" s="4"/>
      <c r="L34" s="4"/>
      <c r="M34" s="4"/>
      <c r="N34" s="4"/>
      <c r="O34" s="4"/>
    </row>
    <row r="35" spans="1:16" ht="13.8" customHeight="1" x14ac:dyDescent="0.3">
      <c r="A35" s="308" t="str">
        <f>A20</f>
        <v>BUDGET SUMMARY FOR 2022/23</v>
      </c>
      <c r="F35" s="4" t="str">
        <f>IFERROR((C35-#REF!)/#REF!,"")</f>
        <v/>
      </c>
      <c r="G35" s="4"/>
      <c r="H35" s="4"/>
      <c r="I35" s="4"/>
      <c r="J35" s="4"/>
      <c r="K35" s="4"/>
      <c r="L35" s="4"/>
      <c r="M35" s="4"/>
      <c r="N35" s="4"/>
      <c r="O35" s="4"/>
    </row>
    <row r="36" spans="1:16" ht="13.8" customHeight="1" x14ac:dyDescent="0.3">
      <c r="A36" s="309" t="s">
        <v>275</v>
      </c>
      <c r="F36" s="4" t="str">
        <f>IFERROR((C36-#REF!)/#REF!,"")</f>
        <v/>
      </c>
      <c r="G36" s="4"/>
      <c r="H36" s="4"/>
      <c r="I36" s="4"/>
      <c r="J36" s="4"/>
      <c r="K36" s="4"/>
      <c r="L36" s="4"/>
      <c r="M36" s="4"/>
      <c r="N36" s="4"/>
      <c r="O36" s="4"/>
    </row>
    <row r="37" spans="1:16" s="191" customFormat="1" ht="69" x14ac:dyDescent="0.3">
      <c r="A37" s="310" t="s">
        <v>128</v>
      </c>
      <c r="B37" s="193" t="str">
        <f>B4</f>
        <v>ACTUAL (YTD)       2020/21</v>
      </c>
      <c r="C37" s="228" t="str">
        <f>C4</f>
        <v>BUDGET (YTD) 2021/22</v>
      </c>
      <c r="D37" s="195" t="str">
        <f>D4</f>
        <v>BUDGET (YTD) 2022/23</v>
      </c>
      <c r="E37" s="194" t="str">
        <f>E4</f>
        <v xml:space="preserve">
VARIANCE            Budget 2021/22 vs Budget 2022/23</v>
      </c>
      <c r="F37" s="189" t="str">
        <f>IFERROR((C37-#REF!)/#REF!,"")</f>
        <v/>
      </c>
      <c r="G37" s="189"/>
      <c r="H37" s="189"/>
      <c r="I37" s="189"/>
      <c r="J37" s="189"/>
      <c r="K37" s="189"/>
      <c r="L37" s="189"/>
      <c r="M37" s="189"/>
      <c r="N37" s="189"/>
      <c r="O37" s="189"/>
    </row>
    <row r="38" spans="1:16" ht="13.8" customHeight="1" x14ac:dyDescent="0.3">
      <c r="A38" s="3" t="s">
        <v>276</v>
      </c>
      <c r="B38" s="68">
        <f>TENANTS!D12</f>
        <v>57025.329999999994</v>
      </c>
      <c r="C38" s="187">
        <f>TENANTS!E12</f>
        <v>55924.234300000004</v>
      </c>
      <c r="D38" s="70">
        <f>TENANTS!F12</f>
        <v>59876.596500000014</v>
      </c>
      <c r="E38" s="64">
        <f t="shared" ref="E38:E44" si="11">IFERROR((D38-C38),"")</f>
        <v>3952.3622000000105</v>
      </c>
      <c r="F38" s="36">
        <f t="shared" ref="F38:F45" si="12">IFERROR((D38-C38)/C38,"")</f>
        <v>7.0673514791422185E-2</v>
      </c>
      <c r="G38" s="4"/>
      <c r="H38" s="4"/>
      <c r="I38" s="4"/>
      <c r="J38" s="4"/>
      <c r="K38" s="4"/>
      <c r="L38" s="4"/>
      <c r="M38" s="4"/>
      <c r="N38" s="4"/>
      <c r="O38" s="4"/>
    </row>
    <row r="39" spans="1:16" ht="13.8" customHeight="1" x14ac:dyDescent="0.3">
      <c r="A39" s="3" t="s">
        <v>92</v>
      </c>
      <c r="B39" s="68">
        <f>SUM(B38:B38)</f>
        <v>57025.329999999994</v>
      </c>
      <c r="C39" s="187">
        <f>SUM(C38:C38)</f>
        <v>55924.234300000004</v>
      </c>
      <c r="D39" s="70">
        <f>SUM(D38:D38)</f>
        <v>59876.596500000014</v>
      </c>
      <c r="E39" s="64">
        <f t="shared" si="11"/>
        <v>3952.3622000000105</v>
      </c>
      <c r="F39" s="36">
        <f t="shared" si="12"/>
        <v>7.0673514791422185E-2</v>
      </c>
      <c r="G39" s="4"/>
      <c r="H39" s="4"/>
      <c r="I39" s="4"/>
      <c r="J39" s="4"/>
      <c r="K39" s="4"/>
      <c r="L39" s="4"/>
      <c r="M39" s="4"/>
      <c r="N39" s="4"/>
      <c r="O39" s="4"/>
    </row>
    <row r="40" spans="1:16" ht="13.8" customHeight="1" x14ac:dyDescent="0.3">
      <c r="A40" s="3" t="s">
        <v>84</v>
      </c>
      <c r="B40" s="68"/>
      <c r="C40" s="187"/>
      <c r="D40" s="70"/>
      <c r="E40" s="64">
        <f t="shared" si="11"/>
        <v>0</v>
      </c>
      <c r="F40" s="36" t="str">
        <f t="shared" si="12"/>
        <v/>
      </c>
      <c r="G40" s="4"/>
      <c r="H40" s="4"/>
      <c r="I40" s="297"/>
      <c r="J40" s="4"/>
      <c r="K40" s="4"/>
      <c r="L40" s="4"/>
      <c r="M40" s="4"/>
      <c r="N40" s="4"/>
      <c r="O40" s="4"/>
    </row>
    <row r="41" spans="1:16" ht="13.8" customHeight="1" x14ac:dyDescent="0.3">
      <c r="A41" s="3" t="s">
        <v>93</v>
      </c>
      <c r="B41" s="68">
        <f>TENANTS!D23</f>
        <v>14595.025199999998</v>
      </c>
      <c r="C41" s="187">
        <f>TENANTS!E23</f>
        <v>14522.405099999998</v>
      </c>
      <c r="D41" s="70">
        <f>TENANTS!F23</f>
        <v>16259.329086</v>
      </c>
      <c r="E41" s="64">
        <f t="shared" si="11"/>
        <v>1736.9239860000016</v>
      </c>
      <c r="F41" s="36">
        <f t="shared" si="12"/>
        <v>0.11960305294059052</v>
      </c>
      <c r="G41" s="4"/>
      <c r="H41" s="4"/>
      <c r="I41" s="4"/>
      <c r="J41" s="4"/>
      <c r="K41" s="4"/>
      <c r="L41" s="4"/>
      <c r="M41" s="4"/>
      <c r="N41" s="4"/>
      <c r="O41" s="4"/>
    </row>
    <row r="42" spans="1:16" ht="13.8" customHeight="1" x14ac:dyDescent="0.3">
      <c r="A42" s="3" t="s">
        <v>96</v>
      </c>
      <c r="B42" s="68">
        <f>TENANTS!D22</f>
        <v>14581.849999999999</v>
      </c>
      <c r="C42" s="187">
        <f>TENANTS!E22</f>
        <v>26500</v>
      </c>
      <c r="D42" s="70">
        <f>TENANTS!F22</f>
        <v>28980.5</v>
      </c>
      <c r="E42" s="64">
        <f t="shared" si="11"/>
        <v>2480.5</v>
      </c>
      <c r="F42" s="36">
        <f t="shared" si="12"/>
        <v>9.3603773584905667E-2</v>
      </c>
      <c r="G42" s="4"/>
      <c r="H42" s="4"/>
      <c r="I42" s="4"/>
      <c r="J42" s="4"/>
      <c r="K42" s="4"/>
      <c r="L42" s="4"/>
      <c r="M42" s="4"/>
      <c r="N42" s="4"/>
      <c r="O42" s="4"/>
    </row>
    <row r="43" spans="1:16" ht="13.8" customHeight="1" x14ac:dyDescent="0.3">
      <c r="A43" s="3" t="str">
        <f>TENANTS!C24</f>
        <v>ADD: 15% Shared costs</v>
      </c>
      <c r="B43" s="68">
        <f>TENANTS!D24</f>
        <v>30482.679727872001</v>
      </c>
      <c r="C43" s="187">
        <f>TENANTS!E24</f>
        <v>35015.002784160999</v>
      </c>
      <c r="D43" s="70">
        <f>TENANTS!F24</f>
        <v>38456.541685156459</v>
      </c>
      <c r="E43" s="64">
        <f t="shared" ref="E43" si="13">IFERROR((D43-C43),"")</f>
        <v>3441.5389009954597</v>
      </c>
      <c r="F43" s="36">
        <f t="shared" ref="F43" si="14">IFERROR((D43-C43)/C43,"")</f>
        <v>9.828755183056094E-2</v>
      </c>
      <c r="G43" s="4"/>
      <c r="H43" s="4"/>
      <c r="I43" s="4"/>
      <c r="J43" s="4"/>
      <c r="K43" s="4"/>
      <c r="L43" s="4"/>
      <c r="M43" s="4"/>
      <c r="N43" s="4"/>
      <c r="O43" s="4"/>
    </row>
    <row r="44" spans="1:16" ht="13.8" customHeight="1" x14ac:dyDescent="0.3">
      <c r="A44" s="3" t="s">
        <v>94</v>
      </c>
      <c r="B44" s="68">
        <f>SUM(B41:B43)</f>
        <v>59659.554927871999</v>
      </c>
      <c r="C44" s="187">
        <f t="shared" ref="C44:D44" si="15">SUM(C41:C43)</f>
        <v>76037.407884160988</v>
      </c>
      <c r="D44" s="70">
        <f t="shared" si="15"/>
        <v>83696.370771156449</v>
      </c>
      <c r="E44" s="64">
        <f t="shared" si="11"/>
        <v>7658.9628869954613</v>
      </c>
      <c r="F44" s="36">
        <f t="shared" si="12"/>
        <v>0.10072624909391296</v>
      </c>
      <c r="G44" s="4"/>
      <c r="H44" s="4"/>
      <c r="I44" s="4"/>
      <c r="J44" s="4"/>
      <c r="K44" s="4"/>
      <c r="L44" s="4"/>
      <c r="M44" s="4"/>
      <c r="N44" s="4"/>
      <c r="O44" s="4"/>
    </row>
    <row r="45" spans="1:16" s="191" customFormat="1" ht="13.8" customHeight="1" thickBot="1" x14ac:dyDescent="0.35">
      <c r="A45" s="201" t="s">
        <v>85</v>
      </c>
      <c r="B45" s="252">
        <f>B39-B44</f>
        <v>-2634.2249278720046</v>
      </c>
      <c r="C45" s="252">
        <f t="shared" ref="C45:E45" si="16">C39-C44</f>
        <v>-20113.173584160984</v>
      </c>
      <c r="D45" s="252">
        <f t="shared" si="16"/>
        <v>-23819.774271156435</v>
      </c>
      <c r="E45" s="252">
        <f t="shared" si="16"/>
        <v>-3706.6006869954508</v>
      </c>
      <c r="F45" s="235">
        <f t="shared" si="12"/>
        <v>0.18428721213415961</v>
      </c>
      <c r="G45" s="315">
        <f>B7-B31-B45</f>
        <v>223470.2</v>
      </c>
      <c r="H45" s="189"/>
      <c r="I45" s="189"/>
      <c r="J45" s="189"/>
      <c r="K45" s="189"/>
      <c r="L45" s="189"/>
      <c r="M45" s="189"/>
      <c r="N45" s="189"/>
      <c r="O45" s="189"/>
      <c r="P45" s="190" t="e">
        <f>#REF!-C45</f>
        <v>#REF!</v>
      </c>
    </row>
    <row r="46" spans="1:16" ht="13.8" customHeight="1" thickTop="1" x14ac:dyDescent="0.3"/>
    <row r="47" spans="1:16" ht="13.8" customHeight="1" x14ac:dyDescent="0.3">
      <c r="A47" s="52" t="s">
        <v>129</v>
      </c>
    </row>
    <row r="48" spans="1:16" ht="13.8" customHeight="1" x14ac:dyDescent="0.3">
      <c r="A48" s="52" t="s">
        <v>130</v>
      </c>
      <c r="B48" s="66" t="s">
        <v>131</v>
      </c>
    </row>
    <row r="49" spans="1:2" ht="13.8" customHeight="1" x14ac:dyDescent="0.3">
      <c r="A49" s="52" t="s">
        <v>132</v>
      </c>
      <c r="B49" s="66" t="s">
        <v>133</v>
      </c>
    </row>
    <row r="50" spans="1:2" ht="13.8" customHeight="1" x14ac:dyDescent="0.3">
      <c r="A50" s="52" t="s">
        <v>134</v>
      </c>
      <c r="B50" s="66" t="s">
        <v>135</v>
      </c>
    </row>
    <row r="51" spans="1:2" ht="13.8" customHeight="1" x14ac:dyDescent="0.3">
      <c r="A51" s="52" t="s">
        <v>136</v>
      </c>
      <c r="B51" s="66" t="s">
        <v>137</v>
      </c>
    </row>
    <row r="52" spans="1:2" ht="13.8" customHeight="1" x14ac:dyDescent="0.3">
      <c r="A52" s="52" t="s">
        <v>138</v>
      </c>
      <c r="B52" s="66" t="s">
        <v>139</v>
      </c>
    </row>
    <row r="53" spans="1:2" ht="13.8" customHeight="1" x14ac:dyDescent="0.3">
      <c r="A53" s="52" t="s">
        <v>140</v>
      </c>
      <c r="B53" s="66" t="s">
        <v>141</v>
      </c>
    </row>
    <row r="54" spans="1:2" ht="13.8" customHeight="1" x14ac:dyDescent="0.3">
      <c r="A54" s="52" t="s">
        <v>142</v>
      </c>
      <c r="B54" s="66" t="s">
        <v>143</v>
      </c>
    </row>
    <row r="55" spans="1:2" ht="13.8" customHeight="1" x14ac:dyDescent="0.3">
      <c r="A55" s="52" t="s">
        <v>144</v>
      </c>
      <c r="B55" s="66" t="s">
        <v>145</v>
      </c>
    </row>
    <row r="56" spans="1:2" ht="13.8" customHeight="1" x14ac:dyDescent="0.3">
      <c r="A56" s="52" t="s">
        <v>146</v>
      </c>
      <c r="B56" s="66" t="s">
        <v>147</v>
      </c>
    </row>
  </sheetData>
  <phoneticPr fontId="7" type="noConversion"/>
  <printOptions horizontalCentered="1" gridLines="1"/>
  <pageMargins left="0.31496062992125984" right="0.31496062992125984" top="0.94488188976377963" bottom="0.15748031496062992" header="0.31496062992125984" footer="0.11811023622047245"/>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66309-7BD5-4DAF-B5B7-23C2677EEE84}">
  <sheetPr>
    <tabColor rgb="FF00B050"/>
  </sheetPr>
  <dimension ref="A1:M102"/>
  <sheetViews>
    <sheetView tabSelected="1" view="pageBreakPreview" zoomScaleNormal="100" zoomScaleSheetLayoutView="100" workbookViewId="0">
      <pane xSplit="4" ySplit="3" topLeftCell="E28" activePane="bottomRight" state="frozen"/>
      <selection activeCell="A39" sqref="A39"/>
      <selection pane="topRight" activeCell="A39" sqref="A39"/>
      <selection pane="bottomLeft" activeCell="A39" sqref="A39"/>
      <selection pane="bottomRight" activeCell="F31" sqref="F31"/>
    </sheetView>
  </sheetViews>
  <sheetFormatPr defaultColWidth="8.88671875" defaultRowHeight="13.8" x14ac:dyDescent="0.3"/>
  <cols>
    <col min="1" max="1" width="10.5546875" style="44" customWidth="1"/>
    <col min="2" max="2" width="25.44140625" style="44" bestFit="1" customWidth="1"/>
    <col min="3" max="3" width="42.88671875" style="45" bestFit="1" customWidth="1"/>
    <col min="4" max="4" width="12.33203125" style="276" bestFit="1" customWidth="1"/>
    <col min="5" max="5" width="12.21875" style="187" bestFit="1" customWidth="1"/>
    <col min="6" max="6" width="12.21875" style="70" bestFit="1" customWidth="1"/>
    <col min="7" max="7" width="11.109375" style="69" bestFit="1" customWidth="1"/>
    <col min="8" max="8" width="10.33203125" style="176" bestFit="1" customWidth="1"/>
    <col min="9" max="9" width="52.6640625" style="264" customWidth="1"/>
    <col min="10" max="12" width="52.6640625" style="169" customWidth="1"/>
    <col min="13" max="13" width="9.88671875" style="47" bestFit="1" customWidth="1"/>
    <col min="14" max="16384" width="8.88671875" style="47"/>
  </cols>
  <sheetData>
    <row r="1" spans="1:13" s="165" customFormat="1" x14ac:dyDescent="0.3">
      <c r="A1" s="164" t="s">
        <v>253</v>
      </c>
      <c r="D1" s="273"/>
      <c r="E1" s="166"/>
      <c r="F1" s="166"/>
      <c r="G1" s="166"/>
      <c r="H1" s="261"/>
      <c r="I1" s="262"/>
      <c r="J1" s="167"/>
      <c r="K1" s="167"/>
      <c r="L1" s="167"/>
    </row>
    <row r="2" spans="1:13" x14ac:dyDescent="0.3">
      <c r="A2" s="168"/>
      <c r="B2" s="47"/>
      <c r="C2" s="47"/>
      <c r="D2" s="274"/>
      <c r="E2" s="69"/>
      <c r="F2" s="69"/>
      <c r="H2" s="263"/>
    </row>
    <row r="3" spans="1:13" s="173" customFormat="1" ht="82.8" x14ac:dyDescent="0.3">
      <c r="A3" s="193" t="s">
        <v>148</v>
      </c>
      <c r="B3" s="193" t="s">
        <v>149</v>
      </c>
      <c r="C3" s="193" t="s">
        <v>69</v>
      </c>
      <c r="D3" s="239" t="str">
        <f>CONSOLE!B4</f>
        <v>ACTUAL (YTD)       2020/21</v>
      </c>
      <c r="E3" s="193" t="str">
        <f>CONSOLE!C4</f>
        <v>BUDGET (YTD) 2021/22</v>
      </c>
      <c r="F3" s="193" t="str">
        <f>CONSOLE!D4</f>
        <v>BUDGET (YTD) 2022/23</v>
      </c>
      <c r="G3" s="193" t="str">
        <f>CONSOLE!E4</f>
        <v xml:space="preserve">
VARIANCE            Budget 2021/22 vs Budget 2022/23</v>
      </c>
      <c r="H3" s="193" t="str">
        <f>CONSOLE!F4</f>
        <v>% CHANGE</v>
      </c>
      <c r="I3" s="193" t="s">
        <v>251</v>
      </c>
      <c r="J3" s="193"/>
      <c r="K3" s="193"/>
      <c r="L3" s="193"/>
    </row>
    <row r="4" spans="1:13" ht="13.8" customHeight="1" x14ac:dyDescent="0.3">
      <c r="A4" s="174" t="s">
        <v>3</v>
      </c>
      <c r="B4" s="175" t="s">
        <v>150</v>
      </c>
      <c r="C4" s="45" t="s">
        <v>151</v>
      </c>
      <c r="D4" s="275">
        <f>('TB21'!E36-D5-D6-D7)</f>
        <v>81600.640000000014</v>
      </c>
      <c r="E4" s="187">
        <v>86970</v>
      </c>
      <c r="F4" s="70">
        <f>D4*1.05</f>
        <v>85680.67200000002</v>
      </c>
      <c r="G4" s="69">
        <f>IFERROR((F4-E4),"")</f>
        <v>-1289.3279999999795</v>
      </c>
      <c r="H4" s="176">
        <f>IFERROR((F4-E4)/E4,"")</f>
        <v>-1.4824974129009768E-2</v>
      </c>
      <c r="I4" s="318" t="s">
        <v>519</v>
      </c>
      <c r="J4" s="206"/>
      <c r="K4" s="206"/>
      <c r="L4" s="206"/>
      <c r="M4" s="47">
        <f>E4/12</f>
        <v>7247.5</v>
      </c>
    </row>
    <row r="5" spans="1:13" x14ac:dyDescent="0.3">
      <c r="A5" s="174" t="s">
        <v>5</v>
      </c>
      <c r="B5" s="175" t="s">
        <v>152</v>
      </c>
      <c r="C5" s="45" t="s">
        <v>4</v>
      </c>
      <c r="D5" s="275">
        <f>E5*1.05</f>
        <v>33023.550000000003</v>
      </c>
      <c r="E5" s="187">
        <v>31451</v>
      </c>
      <c r="F5" s="70">
        <f>D5*1.05</f>
        <v>34674.727500000008</v>
      </c>
      <c r="G5" s="69">
        <f t="shared" ref="G5:G7" si="0">IFERROR((F5-E5),"")</f>
        <v>3223.7275000000081</v>
      </c>
      <c r="H5" s="176">
        <f t="shared" ref="H5:H7" si="1">IFERROR((F5-E5)/E5,"")</f>
        <v>0.10250000000000026</v>
      </c>
      <c r="I5" s="319"/>
      <c r="J5" s="207"/>
      <c r="K5" s="207"/>
      <c r="L5" s="207"/>
      <c r="M5" s="47">
        <f>E5/12</f>
        <v>2620.9166666666665</v>
      </c>
    </row>
    <row r="6" spans="1:13" x14ac:dyDescent="0.3">
      <c r="A6" s="174" t="s">
        <v>7</v>
      </c>
      <c r="B6" s="175" t="s">
        <v>153</v>
      </c>
      <c r="C6" s="45" t="s">
        <v>6</v>
      </c>
      <c r="D6" s="275">
        <f t="shared" ref="D6:D7" si="2">E6*1.05</f>
        <v>78167.25</v>
      </c>
      <c r="E6" s="187">
        <v>74445</v>
      </c>
      <c r="F6" s="70">
        <f>D6*1.05</f>
        <v>82075.612500000003</v>
      </c>
      <c r="G6" s="69">
        <f t="shared" si="0"/>
        <v>7630.6125000000029</v>
      </c>
      <c r="H6" s="176">
        <f t="shared" si="1"/>
        <v>0.10250000000000004</v>
      </c>
      <c r="I6" s="319"/>
      <c r="J6" s="207"/>
      <c r="K6" s="207"/>
      <c r="L6" s="207"/>
      <c r="M6" s="47">
        <f>E6/12</f>
        <v>6203.75</v>
      </c>
    </row>
    <row r="7" spans="1:13" x14ac:dyDescent="0.3">
      <c r="A7" s="174" t="s">
        <v>9</v>
      </c>
      <c r="B7" s="175" t="s">
        <v>154</v>
      </c>
      <c r="C7" s="45" t="s">
        <v>8</v>
      </c>
      <c r="D7" s="275">
        <f t="shared" si="2"/>
        <v>1569.75</v>
      </c>
      <c r="E7" s="187">
        <v>1495</v>
      </c>
      <c r="F7" s="70">
        <f>D7*1.05</f>
        <v>1648.2375000000002</v>
      </c>
      <c r="G7" s="69">
        <f t="shared" si="0"/>
        <v>153.23750000000018</v>
      </c>
      <c r="H7" s="176">
        <f t="shared" si="1"/>
        <v>0.10250000000000012</v>
      </c>
      <c r="I7" s="319"/>
      <c r="J7" s="207"/>
      <c r="K7" s="207"/>
      <c r="L7" s="207"/>
      <c r="M7" s="47">
        <f>E7/12</f>
        <v>124.58333333333333</v>
      </c>
    </row>
    <row r="8" spans="1:13" s="165" customFormat="1" x14ac:dyDescent="0.3">
      <c r="A8" s="230"/>
      <c r="B8" s="178"/>
      <c r="C8" s="164" t="s">
        <v>86</v>
      </c>
      <c r="D8" s="239">
        <f>SUBTOTAL(9,D4:D7)</f>
        <v>194361.19</v>
      </c>
      <c r="E8" s="231">
        <f>SUBTOTAL(9,E4:E7)</f>
        <v>194361</v>
      </c>
      <c r="F8" s="240">
        <f>SUBTOTAL(9,F4:F7)</f>
        <v>204079.24950000003</v>
      </c>
      <c r="G8" s="166">
        <f>SUBTOTAL(9,G4:G7)</f>
        <v>9718.2495000000308</v>
      </c>
      <c r="H8" s="172"/>
      <c r="I8" s="319"/>
      <c r="J8" s="207"/>
      <c r="K8" s="207"/>
      <c r="L8" s="207"/>
      <c r="M8" s="165">
        <f>E8/12</f>
        <v>16196.75</v>
      </c>
    </row>
    <row r="9" spans="1:13" s="165" customFormat="1" ht="82.8" x14ac:dyDescent="0.3">
      <c r="A9" s="177" t="s">
        <v>148</v>
      </c>
      <c r="B9" s="178">
        <v>2</v>
      </c>
      <c r="C9" s="164" t="s">
        <v>10</v>
      </c>
      <c r="D9" s="239" t="str">
        <f>D3</f>
        <v>ACTUAL (YTD)       2020/21</v>
      </c>
      <c r="E9" s="232" t="str">
        <f t="shared" ref="E9" si="3">E3</f>
        <v>BUDGET (YTD) 2021/22</v>
      </c>
      <c r="F9" s="171" t="str">
        <f>F3</f>
        <v>BUDGET (YTD) 2022/23</v>
      </c>
      <c r="G9" s="163" t="str">
        <f>G3</f>
        <v xml:space="preserve">
VARIANCE            Budget 2021/22 vs Budget 2022/23</v>
      </c>
      <c r="H9" s="172" t="s">
        <v>251</v>
      </c>
      <c r="I9" s="179" t="s">
        <v>252</v>
      </c>
      <c r="J9" s="179"/>
      <c r="K9" s="179"/>
      <c r="L9" s="179"/>
    </row>
    <row r="10" spans="1:13" ht="28.8" customHeight="1" x14ac:dyDescent="0.3">
      <c r="A10" s="269">
        <v>6000</v>
      </c>
      <c r="B10" s="175" t="s">
        <v>155</v>
      </c>
      <c r="C10" s="180" t="s">
        <v>11</v>
      </c>
      <c r="D10" s="276">
        <f>'TB21'!D46</f>
        <v>12219.48</v>
      </c>
      <c r="E10" s="187">
        <v>15000</v>
      </c>
      <c r="F10" s="70">
        <f>D10*2.5</f>
        <v>30548.699999999997</v>
      </c>
      <c r="G10" s="69">
        <f t="shared" ref="G10:G31" si="4">IFERROR((F10-E10),"")</f>
        <v>15548.699999999997</v>
      </c>
      <c r="H10" s="176">
        <f t="shared" ref="H10:H32" si="5">IFERROR((F10-E10)/E10,"")</f>
        <v>1.0365799999999998</v>
      </c>
      <c r="I10" s="264" t="s">
        <v>612</v>
      </c>
    </row>
    <row r="11" spans="1:13" x14ac:dyDescent="0.3">
      <c r="A11" s="269">
        <v>6020</v>
      </c>
      <c r="B11" s="175" t="s">
        <v>156</v>
      </c>
      <c r="C11" s="180" t="s">
        <v>12</v>
      </c>
      <c r="D11" s="276">
        <f>'TB21'!D47</f>
        <v>23562.06</v>
      </c>
      <c r="E11" s="187">
        <v>24000</v>
      </c>
      <c r="F11" s="70">
        <v>24000</v>
      </c>
      <c r="G11" s="69">
        <f t="shared" si="4"/>
        <v>0</v>
      </c>
      <c r="H11" s="176">
        <f t="shared" si="5"/>
        <v>0</v>
      </c>
      <c r="I11" s="264" t="s">
        <v>546</v>
      </c>
    </row>
    <row r="12" spans="1:13" ht="28.8" customHeight="1" x14ac:dyDescent="0.3">
      <c r="A12" s="174">
        <v>6026</v>
      </c>
      <c r="B12" s="175" t="s">
        <v>157</v>
      </c>
      <c r="C12" s="180" t="s">
        <v>529</v>
      </c>
      <c r="D12" s="276">
        <f>'TB21'!D48</f>
        <v>152.22999999999999</v>
      </c>
      <c r="E12" s="187">
        <v>5500</v>
      </c>
      <c r="F12" s="70">
        <v>3500</v>
      </c>
      <c r="G12" s="69">
        <f t="shared" si="4"/>
        <v>-2000</v>
      </c>
      <c r="H12" s="176">
        <f t="shared" si="5"/>
        <v>-0.36363636363636365</v>
      </c>
      <c r="I12" s="264" t="s">
        <v>530</v>
      </c>
    </row>
    <row r="13" spans="1:13" ht="27.6" x14ac:dyDescent="0.3">
      <c r="A13" s="181">
        <v>6027</v>
      </c>
      <c r="B13" s="175" t="s">
        <v>158</v>
      </c>
      <c r="C13" s="180" t="s">
        <v>14</v>
      </c>
      <c r="D13" s="276">
        <f>'TB21'!D49</f>
        <v>1012.4399999999999</v>
      </c>
      <c r="E13" s="187">
        <v>1800</v>
      </c>
      <c r="F13" s="70">
        <v>1100</v>
      </c>
      <c r="G13" s="69">
        <f t="shared" si="4"/>
        <v>-700</v>
      </c>
      <c r="H13" s="176">
        <f t="shared" si="5"/>
        <v>-0.3888888888888889</v>
      </c>
      <c r="I13" s="264" t="s">
        <v>531</v>
      </c>
    </row>
    <row r="14" spans="1:13" x14ac:dyDescent="0.3">
      <c r="A14" s="182">
        <v>6034</v>
      </c>
      <c r="B14" s="175" t="s">
        <v>159</v>
      </c>
      <c r="C14" s="183" t="s">
        <v>15</v>
      </c>
      <c r="D14" s="276">
        <v>0</v>
      </c>
      <c r="E14" s="187">
        <f>2400-1200</f>
        <v>1200</v>
      </c>
      <c r="F14" s="70">
        <v>500</v>
      </c>
      <c r="G14" s="69">
        <f t="shared" si="4"/>
        <v>-700</v>
      </c>
      <c r="H14" s="176">
        <f t="shared" si="5"/>
        <v>-0.58333333333333337</v>
      </c>
      <c r="I14" s="265"/>
      <c r="J14" s="184"/>
      <c r="K14" s="184"/>
      <c r="L14" s="184"/>
    </row>
    <row r="15" spans="1:13" x14ac:dyDescent="0.3">
      <c r="A15" s="182">
        <v>6035</v>
      </c>
      <c r="B15" s="175" t="s">
        <v>160</v>
      </c>
      <c r="C15" s="183" t="s">
        <v>16</v>
      </c>
      <c r="D15" s="276">
        <v>0</v>
      </c>
      <c r="E15" s="187">
        <f>1800-800</f>
        <v>1000</v>
      </c>
      <c r="F15" s="70">
        <v>500</v>
      </c>
      <c r="G15" s="69">
        <f t="shared" si="4"/>
        <v>-500</v>
      </c>
      <c r="H15" s="176">
        <f t="shared" si="5"/>
        <v>-0.5</v>
      </c>
      <c r="I15" s="265"/>
      <c r="J15" s="184"/>
      <c r="K15" s="184"/>
      <c r="L15" s="184"/>
    </row>
    <row r="16" spans="1:13" ht="13.8" hidden="1" customHeight="1" x14ac:dyDescent="0.3">
      <c r="A16" s="182">
        <v>6037</v>
      </c>
      <c r="B16" s="175" t="s">
        <v>161</v>
      </c>
      <c r="C16" s="180" t="s">
        <v>17</v>
      </c>
      <c r="G16" s="69">
        <f t="shared" si="4"/>
        <v>0</v>
      </c>
      <c r="H16" s="176" t="str">
        <f t="shared" si="5"/>
        <v/>
      </c>
    </row>
    <row r="17" spans="1:13" ht="13.8" hidden="1" customHeight="1" x14ac:dyDescent="0.3">
      <c r="A17" s="182">
        <v>6038</v>
      </c>
      <c r="B17" s="175" t="s">
        <v>162</v>
      </c>
      <c r="C17" s="180" t="s">
        <v>18</v>
      </c>
      <c r="G17" s="69">
        <f t="shared" si="4"/>
        <v>0</v>
      </c>
      <c r="H17" s="176" t="str">
        <f t="shared" si="5"/>
        <v/>
      </c>
    </row>
    <row r="18" spans="1:13" ht="13.8" hidden="1" customHeight="1" x14ac:dyDescent="0.3">
      <c r="A18" s="182">
        <v>6039</v>
      </c>
      <c r="B18" s="175" t="s">
        <v>163</v>
      </c>
      <c r="C18" s="180" t="s">
        <v>19</v>
      </c>
      <c r="G18" s="69">
        <f t="shared" si="4"/>
        <v>0</v>
      </c>
      <c r="H18" s="176" t="str">
        <f t="shared" si="5"/>
        <v/>
      </c>
    </row>
    <row r="19" spans="1:13" ht="27.6" x14ac:dyDescent="0.3">
      <c r="A19" s="182">
        <v>6040</v>
      </c>
      <c r="B19" s="175" t="s">
        <v>164</v>
      </c>
      <c r="C19" s="202" t="s">
        <v>13</v>
      </c>
      <c r="D19" s="276">
        <f>'TB21'!D50</f>
        <v>920</v>
      </c>
      <c r="E19" s="204">
        <v>5000</v>
      </c>
      <c r="F19" s="203">
        <v>7000</v>
      </c>
      <c r="G19" s="69">
        <f t="shared" si="4"/>
        <v>2000</v>
      </c>
      <c r="H19" s="176">
        <f t="shared" si="5"/>
        <v>0.4</v>
      </c>
      <c r="I19" s="264" t="s">
        <v>541</v>
      </c>
    </row>
    <row r="20" spans="1:13" ht="27.6" x14ac:dyDescent="0.3">
      <c r="A20" s="270">
        <v>6045</v>
      </c>
      <c r="B20" s="175" t="s">
        <v>165</v>
      </c>
      <c r="C20" s="180" t="s">
        <v>20</v>
      </c>
      <c r="D20" s="276">
        <f>'TB21'!D51</f>
        <v>633.93999999999994</v>
      </c>
      <c r="E20" s="187">
        <v>0</v>
      </c>
      <c r="F20" s="70">
        <v>600</v>
      </c>
      <c r="G20" s="69">
        <f t="shared" si="4"/>
        <v>600</v>
      </c>
      <c r="H20" s="176" t="str">
        <f t="shared" si="5"/>
        <v/>
      </c>
      <c r="I20" s="264" t="s">
        <v>547</v>
      </c>
    </row>
    <row r="21" spans="1:13" ht="41.4" x14ac:dyDescent="0.3">
      <c r="A21" s="182">
        <v>6060</v>
      </c>
      <c r="B21" s="175" t="s">
        <v>166</v>
      </c>
      <c r="C21" s="180" t="s">
        <v>167</v>
      </c>
      <c r="D21" s="276">
        <f>'TB21'!D52</f>
        <v>6020</v>
      </c>
      <c r="E21" s="187">
        <v>3000</v>
      </c>
      <c r="F21" s="70">
        <v>6000</v>
      </c>
      <c r="G21" s="69">
        <f t="shared" si="4"/>
        <v>3000</v>
      </c>
      <c r="H21" s="176">
        <f t="shared" si="5"/>
        <v>1</v>
      </c>
      <c r="I21" s="264" t="s">
        <v>527</v>
      </c>
    </row>
    <row r="22" spans="1:13" x14ac:dyDescent="0.3">
      <c r="A22" s="182">
        <v>6061</v>
      </c>
      <c r="B22" s="175" t="s">
        <v>168</v>
      </c>
      <c r="C22" s="180" t="s">
        <v>238</v>
      </c>
      <c r="D22" s="276">
        <v>2215</v>
      </c>
      <c r="E22" s="187">
        <v>2000</v>
      </c>
      <c r="F22" s="70">
        <v>2400</v>
      </c>
      <c r="G22" s="69">
        <f t="shared" si="4"/>
        <v>400</v>
      </c>
      <c r="H22" s="176">
        <f t="shared" si="5"/>
        <v>0.2</v>
      </c>
      <c r="I22" s="264" t="s">
        <v>523</v>
      </c>
    </row>
    <row r="23" spans="1:13" x14ac:dyDescent="0.3">
      <c r="A23" s="182">
        <v>6130</v>
      </c>
      <c r="B23" s="175" t="s">
        <v>169</v>
      </c>
      <c r="C23" s="180" t="s">
        <v>21</v>
      </c>
      <c r="D23" s="276">
        <f>'TB21'!D53</f>
        <v>2148.2799999999997</v>
      </c>
      <c r="E23" s="187">
        <v>4000</v>
      </c>
      <c r="F23" s="70">
        <v>3000</v>
      </c>
      <c r="G23" s="69">
        <f t="shared" si="4"/>
        <v>-1000</v>
      </c>
      <c r="H23" s="176">
        <f t="shared" si="5"/>
        <v>-0.25</v>
      </c>
      <c r="I23" s="264" t="s">
        <v>525</v>
      </c>
    </row>
    <row r="24" spans="1:13" ht="41.4" x14ac:dyDescent="0.3">
      <c r="A24" s="270">
        <v>6140</v>
      </c>
      <c r="B24" s="175" t="s">
        <v>170</v>
      </c>
      <c r="C24" s="180" t="s">
        <v>22</v>
      </c>
      <c r="D24" s="276">
        <v>0</v>
      </c>
      <c r="E24" s="187">
        <v>300</v>
      </c>
      <c r="F24" s="70">
        <v>1500</v>
      </c>
      <c r="G24" s="69">
        <f t="shared" si="4"/>
        <v>1200</v>
      </c>
      <c r="H24" s="176">
        <f t="shared" si="5"/>
        <v>4</v>
      </c>
      <c r="I24" s="264" t="s">
        <v>593</v>
      </c>
    </row>
    <row r="25" spans="1:13" ht="13.8" hidden="1" customHeight="1" x14ac:dyDescent="0.3">
      <c r="A25" s="182">
        <v>6141</v>
      </c>
      <c r="B25" s="175" t="s">
        <v>171</v>
      </c>
      <c r="C25" s="180" t="s">
        <v>23</v>
      </c>
      <c r="D25" s="276">
        <v>0</v>
      </c>
      <c r="F25" s="70">
        <v>0</v>
      </c>
      <c r="G25" s="69">
        <f t="shared" si="4"/>
        <v>0</v>
      </c>
      <c r="H25" s="176" t="str">
        <f t="shared" si="5"/>
        <v/>
      </c>
    </row>
    <row r="26" spans="1:13" ht="27.6" x14ac:dyDescent="0.3">
      <c r="A26" s="182">
        <v>6147</v>
      </c>
      <c r="B26" s="175" t="s">
        <v>172</v>
      </c>
      <c r="C26" s="180" t="s">
        <v>24</v>
      </c>
      <c r="D26" s="276">
        <f>'TB21'!D54</f>
        <v>1016.21</v>
      </c>
      <c r="E26" s="187">
        <v>3600</v>
      </c>
      <c r="F26" s="70">
        <v>1000</v>
      </c>
      <c r="G26" s="69">
        <f t="shared" si="4"/>
        <v>-2600</v>
      </c>
      <c r="H26" s="176">
        <f t="shared" si="5"/>
        <v>-0.72222222222222221</v>
      </c>
      <c r="I26" s="264" t="s">
        <v>542</v>
      </c>
    </row>
    <row r="27" spans="1:13" ht="69" x14ac:dyDescent="0.3">
      <c r="A27" s="182">
        <v>6160</v>
      </c>
      <c r="B27" s="175" t="s">
        <v>173</v>
      </c>
      <c r="C27" s="180" t="s">
        <v>26</v>
      </c>
      <c r="D27" s="276">
        <f>'TB21'!D55</f>
        <v>12000</v>
      </c>
      <c r="E27" s="187">
        <f>1000+500*11</f>
        <v>6500</v>
      </c>
      <c r="F27" s="70">
        <v>9000</v>
      </c>
      <c r="G27" s="69">
        <f t="shared" si="4"/>
        <v>2500</v>
      </c>
      <c r="H27" s="176">
        <f t="shared" si="5"/>
        <v>0.38461538461538464</v>
      </c>
      <c r="I27" s="264" t="s">
        <v>528</v>
      </c>
    </row>
    <row r="28" spans="1:13" x14ac:dyDescent="0.3">
      <c r="A28" s="182">
        <v>6175</v>
      </c>
      <c r="B28" s="175" t="s">
        <v>174</v>
      </c>
      <c r="C28" s="180" t="s">
        <v>246</v>
      </c>
      <c r="D28" s="276">
        <f>'TB21'!D56</f>
        <v>2496</v>
      </c>
      <c r="E28" s="187">
        <v>5000</v>
      </c>
      <c r="F28" s="70">
        <v>3000</v>
      </c>
      <c r="G28" s="69">
        <f t="shared" si="4"/>
        <v>-2000</v>
      </c>
      <c r="H28" s="176">
        <f t="shared" si="5"/>
        <v>-0.4</v>
      </c>
      <c r="I28" s="264" t="s">
        <v>543</v>
      </c>
    </row>
    <row r="29" spans="1:13" ht="27.6" x14ac:dyDescent="0.3">
      <c r="A29" s="182">
        <v>6185</v>
      </c>
      <c r="B29" s="175" t="s">
        <v>175</v>
      </c>
      <c r="C29" s="180" t="s">
        <v>27</v>
      </c>
      <c r="D29" s="276">
        <v>0</v>
      </c>
      <c r="E29" s="187">
        <v>300</v>
      </c>
      <c r="F29" s="70">
        <v>800</v>
      </c>
      <c r="G29" s="69">
        <f t="shared" si="4"/>
        <v>500</v>
      </c>
      <c r="H29" s="176">
        <f t="shared" si="5"/>
        <v>1.6666666666666667</v>
      </c>
      <c r="I29" s="264" t="s">
        <v>532</v>
      </c>
    </row>
    <row r="30" spans="1:13" ht="55.2" x14ac:dyDescent="0.3">
      <c r="A30" s="270">
        <v>6190</v>
      </c>
      <c r="B30" s="175" t="s">
        <v>176</v>
      </c>
      <c r="C30" s="180" t="s">
        <v>28</v>
      </c>
      <c r="D30" s="276">
        <f>'TB21'!D57</f>
        <v>3590</v>
      </c>
      <c r="E30" s="187">
        <v>3000</v>
      </c>
      <c r="F30" s="70">
        <v>3000</v>
      </c>
      <c r="G30" s="69">
        <f t="shared" si="4"/>
        <v>0</v>
      </c>
      <c r="H30" s="176">
        <f t="shared" si="5"/>
        <v>0</v>
      </c>
      <c r="I30" s="264" t="s">
        <v>548</v>
      </c>
    </row>
    <row r="31" spans="1:13" ht="69" x14ac:dyDescent="0.3">
      <c r="A31" s="270">
        <v>6315</v>
      </c>
      <c r="B31" s="175" t="s">
        <v>177</v>
      </c>
      <c r="C31" s="180" t="s">
        <v>25</v>
      </c>
      <c r="D31" s="276">
        <v>0</v>
      </c>
      <c r="E31" s="187">
        <v>1500</v>
      </c>
      <c r="F31" s="70">
        <v>400</v>
      </c>
      <c r="G31" s="69">
        <f t="shared" si="4"/>
        <v>-1100</v>
      </c>
      <c r="H31" s="176">
        <f t="shared" si="5"/>
        <v>-0.73333333333333328</v>
      </c>
      <c r="I31" s="264" t="s">
        <v>613</v>
      </c>
      <c r="M31" s="47">
        <f>5467-8500</f>
        <v>-3033</v>
      </c>
    </row>
    <row r="32" spans="1:13" s="165" customFormat="1" x14ac:dyDescent="0.3">
      <c r="A32" s="271"/>
      <c r="B32" s="271"/>
      <c r="C32" s="164" t="s">
        <v>29</v>
      </c>
      <c r="D32" s="277">
        <f t="shared" ref="D32" si="6">SUBTOTAL(9,D10:D31)</f>
        <v>67985.640000000014</v>
      </c>
      <c r="E32" s="231">
        <f>SUBTOTAL(9,E10:E31)</f>
        <v>82700</v>
      </c>
      <c r="F32" s="272">
        <f>SUBTOTAL(9,F10:F31)</f>
        <v>97848.7</v>
      </c>
      <c r="G32" s="166">
        <f>SUBTOTAL(9,G10:G31)</f>
        <v>15148.699999999997</v>
      </c>
      <c r="H32" s="172">
        <f t="shared" si="5"/>
        <v>0.18317654171704953</v>
      </c>
      <c r="I32" s="179"/>
      <c r="J32" s="179"/>
      <c r="K32" s="179"/>
      <c r="L32" s="179"/>
    </row>
    <row r="33" spans="1:12" x14ac:dyDescent="0.3">
      <c r="A33" s="182"/>
      <c r="B33" s="182"/>
      <c r="C33" s="180"/>
    </row>
    <row r="34" spans="1:12" s="246" customFormat="1" ht="82.8" x14ac:dyDescent="0.3">
      <c r="A34" s="241" t="s">
        <v>1</v>
      </c>
      <c r="B34" s="241">
        <v>3</v>
      </c>
      <c r="C34" s="242" t="s">
        <v>30</v>
      </c>
      <c r="D34" s="278" t="str">
        <f>D3</f>
        <v>ACTUAL (YTD)       2020/21</v>
      </c>
      <c r="E34" s="243" t="str">
        <f>E3</f>
        <v>BUDGET (YTD) 2021/22</v>
      </c>
      <c r="F34" s="243" t="str">
        <f>F3</f>
        <v>BUDGET (YTD) 2022/23</v>
      </c>
      <c r="G34" s="244" t="str">
        <f>G3</f>
        <v xml:space="preserve">
VARIANCE            Budget 2021/22 vs Budget 2022/23</v>
      </c>
      <c r="H34" s="266" t="s">
        <v>251</v>
      </c>
      <c r="I34" s="267" t="s">
        <v>252</v>
      </c>
      <c r="J34" s="245"/>
      <c r="K34" s="245"/>
      <c r="L34" s="245"/>
    </row>
    <row r="35" spans="1:12" ht="55.2" x14ac:dyDescent="0.3">
      <c r="A35" s="270">
        <v>5001</v>
      </c>
      <c r="B35" s="175" t="s">
        <v>178</v>
      </c>
      <c r="C35" s="180" t="s">
        <v>533</v>
      </c>
      <c r="D35" s="276">
        <f>'TB21'!D40</f>
        <v>55430.819999999992</v>
      </c>
      <c r="E35" s="187">
        <f>Payroll!W10</f>
        <v>56685</v>
      </c>
      <c r="F35" s="70">
        <f>Payroll!V10</f>
        <v>65834.22</v>
      </c>
      <c r="G35" s="69">
        <f t="shared" ref="G35:G49" si="7">IFERROR((F35-E35),"")</f>
        <v>9149.2200000000012</v>
      </c>
      <c r="H35" s="176">
        <f t="shared" ref="H35:H52" si="8">IFERROR((F35-E35)/E35,"")</f>
        <v>0.16140460439269649</v>
      </c>
      <c r="I35" s="264" t="s">
        <v>534</v>
      </c>
    </row>
    <row r="36" spans="1:12" ht="27.6" x14ac:dyDescent="0.3">
      <c r="A36" s="182">
        <v>50011</v>
      </c>
      <c r="B36" s="175" t="s">
        <v>179</v>
      </c>
      <c r="C36" s="180" t="s">
        <v>582</v>
      </c>
      <c r="D36" s="276">
        <f>11584.81+2007+664.35</f>
        <v>14256.16</v>
      </c>
      <c r="E36" s="187">
        <f>Payroll!W11</f>
        <v>10920</v>
      </c>
      <c r="F36" s="70">
        <f>Payroll!V11</f>
        <v>10920</v>
      </c>
      <c r="G36" s="69">
        <f t="shared" si="7"/>
        <v>0</v>
      </c>
      <c r="H36" s="176">
        <f t="shared" si="8"/>
        <v>0</v>
      </c>
      <c r="I36" s="264" t="s">
        <v>520</v>
      </c>
    </row>
    <row r="37" spans="1:12" ht="41.4" x14ac:dyDescent="0.3">
      <c r="A37" s="182">
        <v>50011</v>
      </c>
      <c r="B37" s="175" t="s">
        <v>179</v>
      </c>
      <c r="C37" s="180" t="s">
        <v>521</v>
      </c>
      <c r="D37" s="276">
        <f>'TB21'!D41-D36</f>
        <v>34881.960000000006</v>
      </c>
      <c r="E37" s="187">
        <v>36400</v>
      </c>
      <c r="F37" s="70">
        <f>Payroll!P15</f>
        <v>38823.008000000002</v>
      </c>
      <c r="G37" s="69">
        <f t="shared" si="7"/>
        <v>2423.0080000000016</v>
      </c>
      <c r="H37" s="176">
        <f t="shared" si="8"/>
        <v>6.6566153846153886E-2</v>
      </c>
      <c r="I37" s="264" t="s">
        <v>588</v>
      </c>
    </row>
    <row r="38" spans="1:12" ht="27.6" x14ac:dyDescent="0.3">
      <c r="A38" s="182">
        <v>5002</v>
      </c>
      <c r="B38" s="175" t="s">
        <v>180</v>
      </c>
      <c r="C38" s="180" t="s">
        <v>32</v>
      </c>
      <c r="D38" s="276">
        <f>'TB21'!D42</f>
        <v>5224.83</v>
      </c>
      <c r="E38" s="187">
        <v>8816.130000000001</v>
      </c>
      <c r="F38" s="70">
        <f>Payroll!W12</f>
        <v>8816.130000000001</v>
      </c>
      <c r="G38" s="69">
        <f t="shared" si="7"/>
        <v>0</v>
      </c>
      <c r="H38" s="176">
        <f t="shared" si="8"/>
        <v>0</v>
      </c>
      <c r="I38" s="264" t="s">
        <v>245</v>
      </c>
    </row>
    <row r="39" spans="1:12" x14ac:dyDescent="0.3">
      <c r="A39" s="182">
        <v>50021</v>
      </c>
      <c r="B39" s="175" t="s">
        <v>181</v>
      </c>
      <c r="C39" s="180" t="s">
        <v>522</v>
      </c>
      <c r="D39" s="276">
        <f>'TB21'!D43</f>
        <v>1003.6</v>
      </c>
      <c r="E39" s="187">
        <v>1506.96</v>
      </c>
      <c r="F39" s="70">
        <f>Payroll!V13</f>
        <v>1446.9</v>
      </c>
      <c r="G39" s="69">
        <f t="shared" si="7"/>
        <v>-60.059999999999945</v>
      </c>
      <c r="H39" s="176">
        <f t="shared" si="8"/>
        <v>-3.9855072463768078E-2</v>
      </c>
      <c r="I39" s="264" t="s">
        <v>535</v>
      </c>
    </row>
    <row r="40" spans="1:12" ht="27.6" x14ac:dyDescent="0.3">
      <c r="A40" s="182">
        <v>5003</v>
      </c>
      <c r="B40" s="175" t="s">
        <v>182</v>
      </c>
      <c r="C40" s="180" t="s">
        <v>122</v>
      </c>
      <c r="D40" s="276">
        <v>0</v>
      </c>
      <c r="E40" s="187">
        <v>0</v>
      </c>
      <c r="F40" s="70">
        <v>0</v>
      </c>
      <c r="G40" s="69">
        <f t="shared" si="7"/>
        <v>0</v>
      </c>
      <c r="H40" s="176" t="str">
        <f t="shared" si="8"/>
        <v/>
      </c>
      <c r="I40" s="264" t="s">
        <v>250</v>
      </c>
    </row>
    <row r="41" spans="1:12" x14ac:dyDescent="0.3">
      <c r="A41" s="182">
        <v>5020</v>
      </c>
      <c r="B41" s="175" t="s">
        <v>183</v>
      </c>
      <c r="C41" s="180" t="s">
        <v>240</v>
      </c>
      <c r="D41" s="276">
        <f>'TB21'!D44</f>
        <v>1170.46</v>
      </c>
      <c r="E41" s="187">
        <v>1653.18</v>
      </c>
      <c r="F41" s="70">
        <f>Payroll!V15</f>
        <v>1975.0265999999999</v>
      </c>
      <c r="G41" s="69">
        <f t="shared" si="7"/>
        <v>321.84659999999985</v>
      </c>
      <c r="H41" s="176">
        <f t="shared" si="8"/>
        <v>0.1946833375675969</v>
      </c>
    </row>
    <row r="42" spans="1:12" ht="27.6" hidden="1" customHeight="1" x14ac:dyDescent="0.3">
      <c r="A42" s="182">
        <v>5020</v>
      </c>
      <c r="B42" s="175" t="s">
        <v>183</v>
      </c>
      <c r="C42" s="180" t="s">
        <v>277</v>
      </c>
      <c r="D42" s="276">
        <v>0</v>
      </c>
      <c r="E42" s="187">
        <v>0</v>
      </c>
      <c r="F42" s="70">
        <v>0</v>
      </c>
      <c r="G42" s="69">
        <f t="shared" si="7"/>
        <v>0</v>
      </c>
      <c r="H42" s="176" t="str">
        <f t="shared" si="8"/>
        <v/>
      </c>
      <c r="I42" s="264" t="s">
        <v>278</v>
      </c>
    </row>
    <row r="43" spans="1:12" x14ac:dyDescent="0.3">
      <c r="A43" s="182">
        <v>5030</v>
      </c>
      <c r="B43" s="175" t="s">
        <v>184</v>
      </c>
      <c r="C43" s="180" t="s">
        <v>34</v>
      </c>
      <c r="D43" s="276">
        <v>3865</v>
      </c>
      <c r="E43" s="187">
        <v>1500</v>
      </c>
      <c r="F43" s="70">
        <v>300</v>
      </c>
      <c r="G43" s="69">
        <f t="shared" si="7"/>
        <v>-1200</v>
      </c>
      <c r="H43" s="176">
        <f t="shared" si="8"/>
        <v>-0.8</v>
      </c>
      <c r="I43" s="264" t="s">
        <v>610</v>
      </c>
    </row>
    <row r="44" spans="1:12" ht="13.8" hidden="1" customHeight="1" x14ac:dyDescent="0.3">
      <c r="A44" s="182">
        <v>5042</v>
      </c>
      <c r="B44" s="175" t="s">
        <v>185</v>
      </c>
      <c r="C44" s="180" t="s">
        <v>35</v>
      </c>
      <c r="G44" s="69">
        <f t="shared" si="7"/>
        <v>0</v>
      </c>
      <c r="H44" s="176" t="str">
        <f t="shared" si="8"/>
        <v/>
      </c>
      <c r="I44" s="264" t="s">
        <v>239</v>
      </c>
    </row>
    <row r="45" spans="1:12" ht="27.6" hidden="1" customHeight="1" x14ac:dyDescent="0.3">
      <c r="A45" s="182">
        <v>5043</v>
      </c>
      <c r="B45" s="175" t="s">
        <v>186</v>
      </c>
      <c r="C45" s="180" t="s">
        <v>226</v>
      </c>
      <c r="G45" s="69">
        <f t="shared" si="7"/>
        <v>0</v>
      </c>
      <c r="H45" s="176" t="str">
        <f t="shared" si="8"/>
        <v/>
      </c>
      <c r="I45" s="264" t="s">
        <v>241</v>
      </c>
    </row>
    <row r="46" spans="1:12" x14ac:dyDescent="0.3">
      <c r="A46" s="182">
        <v>5045</v>
      </c>
      <c r="B46" s="175" t="s">
        <v>187</v>
      </c>
      <c r="C46" s="180" t="s">
        <v>36</v>
      </c>
      <c r="D46" s="276">
        <f>'TB21'!D45</f>
        <v>2171.8000000000002</v>
      </c>
      <c r="E46" s="187">
        <v>0</v>
      </c>
      <c r="F46" s="70">
        <v>0</v>
      </c>
      <c r="G46" s="69">
        <f t="shared" si="7"/>
        <v>0</v>
      </c>
      <c r="H46" s="176" t="str">
        <f t="shared" si="8"/>
        <v/>
      </c>
      <c r="I46" s="264" t="s">
        <v>242</v>
      </c>
    </row>
    <row r="47" spans="1:12" x14ac:dyDescent="0.3">
      <c r="A47" s="182">
        <v>7120</v>
      </c>
      <c r="B47" s="175" t="s">
        <v>188</v>
      </c>
      <c r="C47" s="180" t="s">
        <v>38</v>
      </c>
      <c r="D47" s="276">
        <v>81.150000000000006</v>
      </c>
      <c r="E47" s="187">
        <v>0</v>
      </c>
      <c r="F47" s="70">
        <v>0</v>
      </c>
      <c r="G47" s="69">
        <f t="shared" si="7"/>
        <v>0</v>
      </c>
      <c r="H47" s="176" t="str">
        <f t="shared" si="8"/>
        <v/>
      </c>
    </row>
    <row r="48" spans="1:12" x14ac:dyDescent="0.3">
      <c r="A48" s="182">
        <v>8030</v>
      </c>
      <c r="B48" s="175" t="s">
        <v>189</v>
      </c>
      <c r="C48" s="180" t="s">
        <v>39</v>
      </c>
      <c r="D48" s="276">
        <v>500</v>
      </c>
      <c r="E48" s="187">
        <v>0</v>
      </c>
      <c r="F48" s="70">
        <v>0</v>
      </c>
      <c r="G48" s="69">
        <f t="shared" si="7"/>
        <v>0</v>
      </c>
      <c r="H48" s="176" t="str">
        <f t="shared" si="8"/>
        <v/>
      </c>
    </row>
    <row r="49" spans="1:12" x14ac:dyDescent="0.3">
      <c r="A49" s="182">
        <v>8050</v>
      </c>
      <c r="B49" s="175" t="s">
        <v>190</v>
      </c>
      <c r="C49" s="180" t="s">
        <v>37</v>
      </c>
      <c r="D49" s="276">
        <v>1056.06</v>
      </c>
      <c r="E49" s="187">
        <v>500</v>
      </c>
      <c r="F49" s="70">
        <v>500</v>
      </c>
      <c r="G49" s="69">
        <f t="shared" si="7"/>
        <v>0</v>
      </c>
      <c r="H49" s="176">
        <f t="shared" si="8"/>
        <v>0</v>
      </c>
      <c r="I49" s="264" t="s">
        <v>259</v>
      </c>
    </row>
    <row r="50" spans="1:12" x14ac:dyDescent="0.3">
      <c r="C50" s="45" t="s">
        <v>40</v>
      </c>
      <c r="D50" s="276">
        <f>SUBTOTAL(9,D35:D49)</f>
        <v>119641.84000000001</v>
      </c>
      <c r="E50" s="187">
        <f>SUBTOTAL(9,E35:E49)</f>
        <v>117981.27</v>
      </c>
      <c r="F50" s="187">
        <f>SUBTOTAL(9,F35:F49)</f>
        <v>128615.2846</v>
      </c>
      <c r="G50" s="69">
        <f>SUBTOTAL(9,G35:G49)</f>
        <v>10634.014600000002</v>
      </c>
      <c r="H50" s="176">
        <f t="shared" si="8"/>
        <v>9.0133074512589964E-2</v>
      </c>
      <c r="I50" s="185"/>
      <c r="J50" s="185"/>
      <c r="K50" s="185"/>
      <c r="L50" s="185"/>
    </row>
    <row r="51" spans="1:12" x14ac:dyDescent="0.3">
      <c r="C51" s="45" t="s">
        <v>41</v>
      </c>
      <c r="D51" s="276">
        <f>(D50-D36-D37-D39-D40-D45)*21%</f>
        <v>14595.025199999998</v>
      </c>
      <c r="E51" s="187">
        <f>(E50-E36-E37-E39-E40-E45)*21%</f>
        <v>14522.405099999998</v>
      </c>
      <c r="F51" s="187">
        <f>(F50-F36-F37-F39-F40-F45)*21%</f>
        <v>16259.329086</v>
      </c>
      <c r="G51" s="69">
        <f>(G50-G36-G37-G39-G40-G45)*21%</f>
        <v>1736.923986</v>
      </c>
      <c r="H51" s="176">
        <f t="shared" si="8"/>
        <v>0.11960305294059052</v>
      </c>
      <c r="I51" s="185"/>
      <c r="J51" s="185"/>
      <c r="K51" s="185"/>
      <c r="L51" s="185"/>
    </row>
    <row r="52" spans="1:12" s="165" customFormat="1" x14ac:dyDescent="0.3">
      <c r="A52" s="271"/>
      <c r="B52" s="271"/>
      <c r="C52" s="164" t="s">
        <v>87</v>
      </c>
      <c r="D52" s="277">
        <f>D50-D51</f>
        <v>105046.81480000001</v>
      </c>
      <c r="E52" s="231">
        <f>E50-E51</f>
        <v>103458.8649</v>
      </c>
      <c r="F52" s="231">
        <f>F50-F51</f>
        <v>112355.955514</v>
      </c>
      <c r="G52" s="166">
        <f t="shared" ref="G52" si="9">G50-G51</f>
        <v>8897.0906140000025</v>
      </c>
      <c r="H52" s="172">
        <f t="shared" si="8"/>
        <v>8.5996406616287949E-2</v>
      </c>
      <c r="I52" s="179"/>
      <c r="J52" s="179"/>
      <c r="K52" s="179"/>
      <c r="L52" s="179"/>
    </row>
    <row r="53" spans="1:12" x14ac:dyDescent="0.3">
      <c r="A53" s="182"/>
      <c r="B53" s="182"/>
      <c r="C53" s="180"/>
      <c r="D53" s="275"/>
      <c r="E53" s="233"/>
      <c r="F53" s="186"/>
      <c r="G53" s="72"/>
    </row>
    <row r="54" spans="1:12" s="165" customFormat="1" ht="82.8" x14ac:dyDescent="0.3">
      <c r="A54" s="254" t="s">
        <v>1</v>
      </c>
      <c r="B54" s="254">
        <v>4</v>
      </c>
      <c r="C54" s="255" t="s">
        <v>43</v>
      </c>
      <c r="D54" s="239" t="str">
        <f>D3</f>
        <v>ACTUAL (YTD)       2020/21</v>
      </c>
      <c r="E54" s="232" t="str">
        <f>E3</f>
        <v>BUDGET (YTD) 2021/22</v>
      </c>
      <c r="F54" s="171" t="str">
        <f>F3</f>
        <v>BUDGET (YTD) 2022/23</v>
      </c>
      <c r="G54" s="163" t="str">
        <f>G3</f>
        <v xml:space="preserve">
VARIANCE            Budget 2021/22 vs Budget 2022/23</v>
      </c>
      <c r="H54" s="268" t="s">
        <v>251</v>
      </c>
      <c r="I54" s="262" t="s">
        <v>252</v>
      </c>
      <c r="J54" s="167"/>
      <c r="K54" s="167"/>
      <c r="L54" s="167"/>
    </row>
    <row r="55" spans="1:12" ht="69" x14ac:dyDescent="0.3">
      <c r="A55" s="270">
        <v>7000</v>
      </c>
      <c r="B55" s="175" t="s">
        <v>191</v>
      </c>
      <c r="C55" s="180" t="s">
        <v>44</v>
      </c>
      <c r="D55" s="276">
        <f>'TB21'!D58</f>
        <v>1994.52</v>
      </c>
      <c r="E55" s="187">
        <v>1800</v>
      </c>
      <c r="F55" s="70">
        <f>168.5*12</f>
        <v>2022</v>
      </c>
      <c r="G55" s="69">
        <f t="shared" ref="G55:G89" si="10">IFERROR((F55-E55),"")</f>
        <v>222</v>
      </c>
      <c r="H55" s="176">
        <f t="shared" ref="H55:H89" si="11">IFERROR((F55-E55)/E55,"")</f>
        <v>0.12333333333333334</v>
      </c>
      <c r="I55" s="264" t="s">
        <v>549</v>
      </c>
    </row>
    <row r="56" spans="1:12" x14ac:dyDescent="0.3">
      <c r="A56" s="182">
        <v>7001</v>
      </c>
      <c r="B56" s="175" t="s">
        <v>192</v>
      </c>
      <c r="C56" s="180" t="s">
        <v>193</v>
      </c>
      <c r="D56" s="276">
        <f>'TB21'!D59</f>
        <v>90.01</v>
      </c>
      <c r="E56" s="187">
        <v>300</v>
      </c>
      <c r="F56" s="70">
        <v>300</v>
      </c>
      <c r="G56" s="69">
        <f t="shared" si="10"/>
        <v>0</v>
      </c>
      <c r="H56" s="176">
        <f t="shared" si="11"/>
        <v>0</v>
      </c>
    </row>
    <row r="57" spans="1:12" x14ac:dyDescent="0.3">
      <c r="A57" s="182">
        <v>7002</v>
      </c>
      <c r="B57" s="175" t="s">
        <v>194</v>
      </c>
      <c r="C57" s="180" t="s">
        <v>195</v>
      </c>
      <c r="D57" s="276">
        <f>'TB21'!D60</f>
        <v>368.64</v>
      </c>
      <c r="E57" s="187">
        <v>650</v>
      </c>
      <c r="F57" s="70">
        <f>D57*1.05</f>
        <v>387.072</v>
      </c>
      <c r="G57" s="69">
        <f t="shared" si="10"/>
        <v>-262.928</v>
      </c>
      <c r="H57" s="176">
        <f t="shared" si="11"/>
        <v>-0.40450461538461541</v>
      </c>
    </row>
    <row r="58" spans="1:12" ht="27.6" x14ac:dyDescent="0.3">
      <c r="A58" s="182">
        <v>7005</v>
      </c>
      <c r="B58" s="175" t="s">
        <v>196</v>
      </c>
      <c r="C58" s="180" t="s">
        <v>590</v>
      </c>
      <c r="D58" s="276">
        <v>822.43</v>
      </c>
      <c r="E58" s="187">
        <v>300</v>
      </c>
      <c r="F58" s="70">
        <v>300</v>
      </c>
      <c r="G58" s="69">
        <f t="shared" ref="G58" si="12">IFERROR((F58-E58),"")</f>
        <v>0</v>
      </c>
      <c r="H58" s="176">
        <f t="shared" ref="H58" si="13">IFERROR((F58-E58)/E58,"")</f>
        <v>0</v>
      </c>
      <c r="I58" s="264" t="s">
        <v>592</v>
      </c>
    </row>
    <row r="59" spans="1:12" x14ac:dyDescent="0.3">
      <c r="A59" s="182">
        <v>7010</v>
      </c>
      <c r="B59" s="175" t="s">
        <v>197</v>
      </c>
      <c r="C59" s="180" t="s">
        <v>45</v>
      </c>
      <c r="D59" s="276">
        <f>'TB21'!D62</f>
        <v>2662.63</v>
      </c>
      <c r="E59" s="187">
        <v>2750</v>
      </c>
      <c r="F59" s="70">
        <f>D59*1.05</f>
        <v>2795.7615000000001</v>
      </c>
      <c r="G59" s="69">
        <f t="shared" si="10"/>
        <v>45.761500000000069</v>
      </c>
      <c r="H59" s="176">
        <f t="shared" si="11"/>
        <v>1.6640545454545481E-2</v>
      </c>
    </row>
    <row r="60" spans="1:12" ht="55.2" x14ac:dyDescent="0.3">
      <c r="A60" s="270">
        <v>7020</v>
      </c>
      <c r="B60" s="175" t="s">
        <v>199</v>
      </c>
      <c r="C60" s="180" t="s">
        <v>198</v>
      </c>
      <c r="D60" s="276">
        <f>'TB21'!D63</f>
        <v>3293.29</v>
      </c>
      <c r="E60" s="187">
        <v>4000</v>
      </c>
      <c r="F60" s="70">
        <v>3600</v>
      </c>
      <c r="G60" s="69">
        <f t="shared" si="10"/>
        <v>-400</v>
      </c>
      <c r="H60" s="176">
        <f t="shared" si="11"/>
        <v>-0.1</v>
      </c>
      <c r="I60" s="264" t="s">
        <v>550</v>
      </c>
    </row>
    <row r="61" spans="1:12" ht="41.4" x14ac:dyDescent="0.3">
      <c r="A61" s="270">
        <v>7021</v>
      </c>
      <c r="B61" s="175" t="s">
        <v>200</v>
      </c>
      <c r="C61" s="180" t="s">
        <v>53</v>
      </c>
      <c r="D61" s="276">
        <f>'TB21'!D64</f>
        <v>399.61</v>
      </c>
      <c r="E61" s="187">
        <v>75</v>
      </c>
      <c r="F61" s="70">
        <v>600</v>
      </c>
      <c r="G61" s="69">
        <f t="shared" si="10"/>
        <v>525</v>
      </c>
      <c r="H61" s="176">
        <f t="shared" si="11"/>
        <v>7</v>
      </c>
      <c r="I61" s="264" t="s">
        <v>551</v>
      </c>
    </row>
    <row r="62" spans="1:12" x14ac:dyDescent="0.3">
      <c r="A62" s="182">
        <v>7022</v>
      </c>
      <c r="B62" s="175" t="s">
        <v>201</v>
      </c>
      <c r="C62" s="180" t="s">
        <v>54</v>
      </c>
      <c r="D62" s="276">
        <f>'TB21'!D65</f>
        <v>1152.24</v>
      </c>
      <c r="E62" s="187">
        <v>1500</v>
      </c>
      <c r="F62" s="70">
        <v>1200</v>
      </c>
      <c r="G62" s="69">
        <f t="shared" si="10"/>
        <v>-300</v>
      </c>
      <c r="H62" s="176">
        <f t="shared" si="11"/>
        <v>-0.2</v>
      </c>
      <c r="I62" s="264" t="s">
        <v>594</v>
      </c>
    </row>
    <row r="63" spans="1:12" ht="27.6" x14ac:dyDescent="0.3">
      <c r="A63" s="182">
        <v>7030</v>
      </c>
      <c r="B63" s="175" t="s">
        <v>202</v>
      </c>
      <c r="C63" s="180" t="s">
        <v>552</v>
      </c>
      <c r="D63" s="276">
        <v>0.94</v>
      </c>
      <c r="E63" s="187">
        <v>1500</v>
      </c>
      <c r="F63" s="70">
        <v>600</v>
      </c>
      <c r="G63" s="69">
        <f t="shared" si="10"/>
        <v>-900</v>
      </c>
      <c r="H63" s="176">
        <f t="shared" si="11"/>
        <v>-0.6</v>
      </c>
      <c r="I63" s="264" t="s">
        <v>591</v>
      </c>
    </row>
    <row r="64" spans="1:12" x14ac:dyDescent="0.3">
      <c r="A64" s="182">
        <v>7031</v>
      </c>
      <c r="B64" s="175" t="s">
        <v>589</v>
      </c>
      <c r="C64" s="180" t="s">
        <v>46</v>
      </c>
      <c r="D64" s="276">
        <f>'TB21'!D67</f>
        <v>210</v>
      </c>
      <c r="E64" s="187">
        <v>750</v>
      </c>
      <c r="F64" s="70">
        <v>0</v>
      </c>
      <c r="G64" s="69">
        <f t="shared" si="10"/>
        <v>-750</v>
      </c>
      <c r="H64" s="176">
        <f t="shared" si="11"/>
        <v>-1</v>
      </c>
    </row>
    <row r="65" spans="1:12" ht="13.8" hidden="1" customHeight="1" x14ac:dyDescent="0.3">
      <c r="A65" s="182">
        <v>7040</v>
      </c>
      <c r="B65" s="175" t="s">
        <v>203</v>
      </c>
      <c r="C65" s="180" t="s">
        <v>123</v>
      </c>
      <c r="D65" s="279">
        <f>'TB21'!D61+'TB21'!D69</f>
        <v>897.76</v>
      </c>
      <c r="E65" s="187">
        <v>0</v>
      </c>
      <c r="F65" s="70">
        <v>0</v>
      </c>
      <c r="G65" s="69">
        <f t="shared" si="10"/>
        <v>0</v>
      </c>
      <c r="H65" s="176" t="str">
        <f t="shared" si="11"/>
        <v/>
      </c>
    </row>
    <row r="66" spans="1:12" ht="27.6" x14ac:dyDescent="0.3">
      <c r="A66" s="182">
        <v>7050</v>
      </c>
      <c r="B66" s="175" t="s">
        <v>204</v>
      </c>
      <c r="C66" s="180" t="s">
        <v>47</v>
      </c>
      <c r="D66" s="276">
        <f>'TB21'!D70</f>
        <v>1231.75</v>
      </c>
      <c r="E66" s="187">
        <v>900</v>
      </c>
      <c r="F66" s="70">
        <f>D66*2.5</f>
        <v>3079.375</v>
      </c>
      <c r="G66" s="69">
        <f t="shared" si="10"/>
        <v>2179.375</v>
      </c>
      <c r="H66" s="176">
        <f t="shared" si="11"/>
        <v>2.4215277777777779</v>
      </c>
      <c r="I66" s="264" t="s">
        <v>612</v>
      </c>
    </row>
    <row r="67" spans="1:12" x14ac:dyDescent="0.3">
      <c r="A67" s="182">
        <v>7060</v>
      </c>
      <c r="B67" s="175" t="s">
        <v>205</v>
      </c>
      <c r="C67" s="180" t="s">
        <v>48</v>
      </c>
      <c r="E67" s="187">
        <v>800</v>
      </c>
      <c r="F67" s="70">
        <v>0</v>
      </c>
      <c r="G67" s="69">
        <f t="shared" si="10"/>
        <v>-800</v>
      </c>
      <c r="H67" s="176">
        <f t="shared" si="11"/>
        <v>-1</v>
      </c>
    </row>
    <row r="68" spans="1:12" ht="13.8" hidden="1" customHeight="1" x14ac:dyDescent="0.3">
      <c r="A68" s="182">
        <v>7065</v>
      </c>
      <c r="B68" s="175" t="s">
        <v>206</v>
      </c>
      <c r="C68" s="180" t="s">
        <v>49</v>
      </c>
      <c r="G68" s="69">
        <f t="shared" si="10"/>
        <v>0</v>
      </c>
      <c r="H68" s="176" t="str">
        <f t="shared" si="11"/>
        <v/>
      </c>
      <c r="I68" s="264" t="s">
        <v>256</v>
      </c>
    </row>
    <row r="69" spans="1:12" ht="27.6" x14ac:dyDescent="0.3">
      <c r="A69" s="182">
        <v>7070</v>
      </c>
      <c r="B69" s="175" t="s">
        <v>207</v>
      </c>
      <c r="C69" s="180" t="s">
        <v>50</v>
      </c>
      <c r="D69" s="276">
        <f>'TB21'!D71</f>
        <v>515.20000000000005</v>
      </c>
      <c r="E69" s="187">
        <v>2000</v>
      </c>
      <c r="F69" s="70">
        <v>1200</v>
      </c>
      <c r="G69" s="69">
        <f t="shared" si="10"/>
        <v>-800</v>
      </c>
      <c r="H69" s="176">
        <f t="shared" si="11"/>
        <v>-0.4</v>
      </c>
      <c r="I69" s="264" t="s">
        <v>536</v>
      </c>
    </row>
    <row r="70" spans="1:12" ht="13.8" hidden="1" customHeight="1" x14ac:dyDescent="0.3">
      <c r="A70" s="182">
        <v>7075</v>
      </c>
      <c r="B70" s="175" t="s">
        <v>208</v>
      </c>
      <c r="C70" s="180" t="s">
        <v>51</v>
      </c>
      <c r="G70" s="69">
        <f t="shared" si="10"/>
        <v>0</v>
      </c>
      <c r="H70" s="176" t="str">
        <f t="shared" si="11"/>
        <v/>
      </c>
    </row>
    <row r="71" spans="1:12" x14ac:dyDescent="0.3">
      <c r="A71" s="182">
        <v>7080</v>
      </c>
      <c r="B71" s="175" t="s">
        <v>209</v>
      </c>
      <c r="C71" s="180" t="s">
        <v>52</v>
      </c>
      <c r="D71" s="276">
        <f>'TB21'!D72</f>
        <v>279.88</v>
      </c>
      <c r="E71" s="187">
        <v>0</v>
      </c>
      <c r="F71" s="70">
        <v>0</v>
      </c>
      <c r="G71" s="69">
        <f t="shared" si="10"/>
        <v>0</v>
      </c>
      <c r="H71" s="176" t="str">
        <f t="shared" si="11"/>
        <v/>
      </c>
    </row>
    <row r="72" spans="1:12" ht="13.8" hidden="1" customHeight="1" x14ac:dyDescent="0.3">
      <c r="A72" s="182">
        <v>7130</v>
      </c>
      <c r="B72" s="175" t="s">
        <v>210</v>
      </c>
      <c r="C72" s="180" t="s">
        <v>55</v>
      </c>
      <c r="G72" s="69">
        <f t="shared" si="10"/>
        <v>0</v>
      </c>
      <c r="H72" s="176" t="str">
        <f t="shared" si="11"/>
        <v/>
      </c>
    </row>
    <row r="73" spans="1:12" ht="13.8" hidden="1" customHeight="1" x14ac:dyDescent="0.3">
      <c r="A73" s="182">
        <v>7131</v>
      </c>
      <c r="B73" s="175" t="s">
        <v>211</v>
      </c>
      <c r="C73" s="180" t="s">
        <v>56</v>
      </c>
      <c r="G73" s="69">
        <f t="shared" si="10"/>
        <v>0</v>
      </c>
      <c r="H73" s="176" t="str">
        <f t="shared" si="11"/>
        <v/>
      </c>
    </row>
    <row r="74" spans="1:12" x14ac:dyDescent="0.3">
      <c r="A74" s="182">
        <v>7150</v>
      </c>
      <c r="B74" s="175" t="s">
        <v>212</v>
      </c>
      <c r="C74" s="180" t="s">
        <v>57</v>
      </c>
      <c r="D74" s="276">
        <v>166.62</v>
      </c>
      <c r="E74" s="187">
        <v>300</v>
      </c>
      <c r="F74" s="70">
        <v>150</v>
      </c>
      <c r="G74" s="69">
        <f t="shared" si="10"/>
        <v>-150</v>
      </c>
      <c r="H74" s="176">
        <f t="shared" si="11"/>
        <v>-0.5</v>
      </c>
    </row>
    <row r="75" spans="1:12" x14ac:dyDescent="0.3">
      <c r="A75" s="182">
        <v>7160</v>
      </c>
      <c r="B75" s="175" t="s">
        <v>213</v>
      </c>
      <c r="C75" s="183" t="s">
        <v>58</v>
      </c>
      <c r="E75" s="187">
        <v>0</v>
      </c>
      <c r="F75" s="70">
        <v>150</v>
      </c>
      <c r="G75" s="69">
        <f t="shared" si="10"/>
        <v>150</v>
      </c>
      <c r="H75" s="176" t="str">
        <f t="shared" si="11"/>
        <v/>
      </c>
      <c r="I75" s="264" t="s">
        <v>537</v>
      </c>
      <c r="J75" s="184"/>
      <c r="K75" s="184"/>
      <c r="L75" s="184"/>
    </row>
    <row r="76" spans="1:12" ht="55.2" x14ac:dyDescent="0.3">
      <c r="A76" s="182">
        <v>8000</v>
      </c>
      <c r="B76" s="175" t="s">
        <v>214</v>
      </c>
      <c r="C76" s="180" t="s">
        <v>59</v>
      </c>
      <c r="D76" s="276">
        <f>'TB21'!D73</f>
        <v>498.23999999999995</v>
      </c>
      <c r="E76" s="187">
        <v>498</v>
      </c>
      <c r="F76" s="70">
        <v>498</v>
      </c>
      <c r="G76" s="69">
        <f t="shared" si="10"/>
        <v>0</v>
      </c>
      <c r="H76" s="176">
        <f t="shared" si="11"/>
        <v>0</v>
      </c>
      <c r="I76" s="264" t="s">
        <v>260</v>
      </c>
    </row>
    <row r="77" spans="1:12" x14ac:dyDescent="0.3">
      <c r="A77" s="182">
        <v>8010</v>
      </c>
      <c r="B77" s="175" t="s">
        <v>215</v>
      </c>
      <c r="C77" s="180" t="s">
        <v>60</v>
      </c>
      <c r="D77" s="276">
        <f>'TB21'!D75</f>
        <v>73.72999999999999</v>
      </c>
      <c r="E77" s="187">
        <v>75</v>
      </c>
      <c r="F77" s="70">
        <v>75</v>
      </c>
      <c r="G77" s="69">
        <f t="shared" si="10"/>
        <v>0</v>
      </c>
      <c r="H77" s="176">
        <f t="shared" si="11"/>
        <v>0</v>
      </c>
    </row>
    <row r="78" spans="1:12" x14ac:dyDescent="0.3">
      <c r="A78" s="182">
        <v>8018</v>
      </c>
      <c r="B78" s="175" t="s">
        <v>216</v>
      </c>
      <c r="C78" s="180" t="s">
        <v>61</v>
      </c>
      <c r="G78" s="69">
        <f t="shared" si="10"/>
        <v>0</v>
      </c>
      <c r="H78" s="176" t="str">
        <f t="shared" si="11"/>
        <v/>
      </c>
    </row>
    <row r="79" spans="1:12" x14ac:dyDescent="0.3">
      <c r="A79" s="182">
        <v>8040</v>
      </c>
      <c r="B79" s="175" t="s">
        <v>217</v>
      </c>
      <c r="C79" s="180" t="s">
        <v>62</v>
      </c>
      <c r="D79" s="276">
        <f>'TB21'!D76</f>
        <v>5325</v>
      </c>
      <c r="E79" s="187">
        <f>6000-500</f>
        <v>5500</v>
      </c>
      <c r="F79" s="70">
        <v>5400</v>
      </c>
      <c r="G79" s="69">
        <f t="shared" si="10"/>
        <v>-100</v>
      </c>
      <c r="H79" s="176">
        <f t="shared" si="11"/>
        <v>-1.8181818181818181E-2</v>
      </c>
      <c r="I79" s="264" t="s">
        <v>538</v>
      </c>
    </row>
    <row r="80" spans="1:12" ht="13.8" hidden="1" customHeight="1" x14ac:dyDescent="0.3">
      <c r="A80" s="182">
        <v>8045</v>
      </c>
      <c r="B80" s="175" t="s">
        <v>218</v>
      </c>
      <c r="C80" s="180" t="s">
        <v>63</v>
      </c>
      <c r="G80" s="69">
        <f t="shared" si="10"/>
        <v>0</v>
      </c>
      <c r="H80" s="176" t="str">
        <f t="shared" si="11"/>
        <v/>
      </c>
    </row>
    <row r="81" spans="1:12" ht="27.6" x14ac:dyDescent="0.3">
      <c r="A81" s="182">
        <v>8056</v>
      </c>
      <c r="B81" s="175" t="s">
        <v>219</v>
      </c>
      <c r="C81" s="180" t="s">
        <v>64</v>
      </c>
      <c r="E81" s="187">
        <f>500+500</f>
        <v>1000</v>
      </c>
      <c r="F81" s="70">
        <v>1000</v>
      </c>
      <c r="G81" s="69">
        <f t="shared" si="10"/>
        <v>0</v>
      </c>
      <c r="H81" s="176">
        <f t="shared" si="11"/>
        <v>0</v>
      </c>
      <c r="I81" s="264" t="s">
        <v>258</v>
      </c>
    </row>
    <row r="82" spans="1:12" ht="27.6" x14ac:dyDescent="0.3">
      <c r="A82" s="182">
        <v>8057</v>
      </c>
      <c r="B82" s="175" t="s">
        <v>220</v>
      </c>
      <c r="C82" s="180" t="s">
        <v>65</v>
      </c>
      <c r="D82" s="276">
        <f>'TB21'!D77</f>
        <v>618.36</v>
      </c>
      <c r="E82" s="187">
        <v>1500</v>
      </c>
      <c r="F82" s="70">
        <v>750</v>
      </c>
      <c r="G82" s="69">
        <f t="shared" si="10"/>
        <v>-750</v>
      </c>
      <c r="H82" s="176">
        <f t="shared" si="11"/>
        <v>-0.5</v>
      </c>
      <c r="I82" s="264" t="s">
        <v>539</v>
      </c>
    </row>
    <row r="83" spans="1:12" x14ac:dyDescent="0.3">
      <c r="A83" s="182">
        <v>8060</v>
      </c>
      <c r="B83" s="175" t="s">
        <v>221</v>
      </c>
      <c r="C83" s="202" t="s">
        <v>67</v>
      </c>
      <c r="E83" s="204">
        <v>10000</v>
      </c>
      <c r="F83" s="203">
        <v>10000</v>
      </c>
      <c r="G83" s="69">
        <f t="shared" si="10"/>
        <v>0</v>
      </c>
      <c r="H83" s="176">
        <f t="shared" si="11"/>
        <v>0</v>
      </c>
      <c r="I83" s="264" t="s">
        <v>524</v>
      </c>
    </row>
    <row r="84" spans="1:12" x14ac:dyDescent="0.3">
      <c r="A84" s="182">
        <v>9013</v>
      </c>
      <c r="B84" s="175" t="s">
        <v>222</v>
      </c>
      <c r="C84" s="180" t="s">
        <v>540</v>
      </c>
      <c r="D84" s="276">
        <f>'TB21'!D81</f>
        <v>643.29999999999995</v>
      </c>
      <c r="E84" s="187">
        <v>750</v>
      </c>
      <c r="F84" s="70">
        <f>63*12</f>
        <v>756</v>
      </c>
      <c r="G84" s="69">
        <f t="shared" si="10"/>
        <v>6</v>
      </c>
      <c r="H84" s="176">
        <f t="shared" si="11"/>
        <v>8.0000000000000002E-3</v>
      </c>
      <c r="I84" s="264" t="s">
        <v>553</v>
      </c>
    </row>
    <row r="85" spans="1:12" x14ac:dyDescent="0.3">
      <c r="A85" s="182">
        <v>9928</v>
      </c>
      <c r="B85" s="175" t="s">
        <v>223</v>
      </c>
      <c r="C85" s="180" t="s">
        <v>66</v>
      </c>
      <c r="D85" s="276">
        <f>'TB21'!D74</f>
        <v>16.72</v>
      </c>
      <c r="E85" s="187">
        <v>75</v>
      </c>
      <c r="F85" s="70">
        <v>50</v>
      </c>
      <c r="G85" s="69">
        <f t="shared" si="10"/>
        <v>-25</v>
      </c>
      <c r="H85" s="176">
        <f t="shared" si="11"/>
        <v>-0.33333333333333331</v>
      </c>
      <c r="I85" s="264" t="s">
        <v>243</v>
      </c>
    </row>
    <row r="86" spans="1:12" s="165" customFormat="1" x14ac:dyDescent="0.3">
      <c r="A86" s="271"/>
      <c r="B86" s="271"/>
      <c r="C86" s="164" t="s">
        <v>68</v>
      </c>
      <c r="D86" s="277">
        <f>SUBTOTAL(9,D55:D85)</f>
        <v>21260.870000000003</v>
      </c>
      <c r="E86" s="231">
        <f>SUBTOTAL(9,E55:E85)</f>
        <v>37023</v>
      </c>
      <c r="F86" s="272">
        <f>SUBTOTAL(9,F55:F85)</f>
        <v>34913.208500000001</v>
      </c>
      <c r="G86" s="166">
        <f t="shared" si="10"/>
        <v>-2109.7914999999994</v>
      </c>
      <c r="H86" s="172">
        <f t="shared" si="11"/>
        <v>-5.6985968181940939E-2</v>
      </c>
      <c r="I86" s="179"/>
      <c r="J86" s="179"/>
      <c r="K86" s="179"/>
      <c r="L86" s="179"/>
    </row>
    <row r="87" spans="1:12" s="165" customFormat="1" x14ac:dyDescent="0.3">
      <c r="A87" s="271"/>
      <c r="B87" s="271"/>
      <c r="C87" s="164" t="s">
        <v>236</v>
      </c>
      <c r="D87" s="277">
        <f>SUM(D32+D52+D86)</f>
        <v>194293.3248</v>
      </c>
      <c r="E87" s="231">
        <f>SUM(E32+E52+E86)</f>
        <v>223181.86489999999</v>
      </c>
      <c r="F87" s="272">
        <f>SUM(F32+F52+F86)</f>
        <v>245117.86401399999</v>
      </c>
      <c r="G87" s="166">
        <f t="shared" si="10"/>
        <v>21935.999114000006</v>
      </c>
      <c r="H87" s="172">
        <f t="shared" si="11"/>
        <v>9.8287551830560968E-2</v>
      </c>
      <c r="I87" s="179"/>
      <c r="J87" s="179"/>
      <c r="K87" s="179"/>
      <c r="L87" s="179"/>
    </row>
    <row r="88" spans="1:12" s="165" customFormat="1" x14ac:dyDescent="0.3">
      <c r="A88" s="271"/>
      <c r="B88" s="271"/>
      <c r="C88" s="164" t="s">
        <v>225</v>
      </c>
      <c r="D88" s="316">
        <f>LHA!D87*15.689%</f>
        <v>30482.679727872001</v>
      </c>
      <c r="E88" s="317">
        <f>LHA!E87*15.689%</f>
        <v>35015.002784160999</v>
      </c>
      <c r="F88" s="317">
        <f>LHA!F87*15.689%</f>
        <v>38456.541685156459</v>
      </c>
      <c r="G88" s="166">
        <f t="shared" ref="G88" si="14">IFERROR((F88-E88),"")</f>
        <v>3441.5389009954597</v>
      </c>
      <c r="H88" s="172">
        <f t="shared" ref="H88" si="15">IFERROR((F88-E88)/E88,"")</f>
        <v>9.828755183056094E-2</v>
      </c>
      <c r="I88" s="179"/>
      <c r="J88" s="179"/>
      <c r="K88" s="179"/>
      <c r="L88" s="179"/>
    </row>
    <row r="89" spans="1:12" s="165" customFormat="1" x14ac:dyDescent="0.3">
      <c r="A89" s="271"/>
      <c r="B89" s="271"/>
      <c r="C89" s="164" t="s">
        <v>85</v>
      </c>
      <c r="D89" s="316">
        <f>D8-D87+D88</f>
        <v>30550.544927872001</v>
      </c>
      <c r="E89" s="317">
        <f t="shared" ref="E89:F89" si="16">E8-E87+E88</f>
        <v>6194.1378841610131</v>
      </c>
      <c r="F89" s="317">
        <f t="shared" si="16"/>
        <v>-2582.0728288434984</v>
      </c>
      <c r="G89" s="166">
        <f t="shared" si="10"/>
        <v>-8776.2107130045115</v>
      </c>
      <c r="H89" s="172">
        <f t="shared" si="11"/>
        <v>-1.4168574993214309</v>
      </c>
      <c r="I89" s="179"/>
      <c r="J89" s="179"/>
      <c r="K89" s="179"/>
      <c r="L89" s="179"/>
    </row>
    <row r="90" spans="1:12" s="165" customFormat="1" x14ac:dyDescent="0.3">
      <c r="A90" s="271"/>
      <c r="B90" s="271"/>
      <c r="C90" s="164"/>
      <c r="D90" s="277"/>
      <c r="E90" s="231"/>
      <c r="F90" s="272"/>
      <c r="G90" s="166"/>
      <c r="H90" s="172"/>
      <c r="I90" s="179"/>
      <c r="J90" s="179"/>
      <c r="K90" s="179"/>
      <c r="L90" s="179"/>
    </row>
    <row r="91" spans="1:12" s="165" customFormat="1" x14ac:dyDescent="0.3">
      <c r="A91" s="271"/>
      <c r="B91" s="271"/>
      <c r="C91" s="164"/>
      <c r="D91" s="277"/>
      <c r="E91" s="231"/>
      <c r="F91" s="272"/>
      <c r="G91" s="166"/>
      <c r="H91" s="172"/>
      <c r="I91" s="179"/>
      <c r="J91" s="179"/>
      <c r="K91" s="179"/>
      <c r="L91" s="179"/>
    </row>
    <row r="93" spans="1:12" x14ac:dyDescent="0.3">
      <c r="E93" s="276"/>
      <c r="F93" s="276"/>
    </row>
    <row r="94" spans="1:12" x14ac:dyDescent="0.3">
      <c r="E94" s="276"/>
      <c r="F94" s="276"/>
    </row>
    <row r="95" spans="1:12" x14ac:dyDescent="0.3">
      <c r="E95" s="276"/>
      <c r="F95" s="276"/>
    </row>
    <row r="96" spans="1:12" x14ac:dyDescent="0.3">
      <c r="E96" s="276"/>
      <c r="F96" s="276"/>
    </row>
    <row r="98" spans="5:6" x14ac:dyDescent="0.3">
      <c r="E98" s="276"/>
      <c r="F98" s="276"/>
    </row>
    <row r="99" spans="5:6" x14ac:dyDescent="0.3">
      <c r="E99" s="276"/>
      <c r="F99" s="276"/>
    </row>
    <row r="100" spans="5:6" x14ac:dyDescent="0.3">
      <c r="E100" s="276"/>
      <c r="F100" s="276"/>
    </row>
    <row r="101" spans="5:6" x14ac:dyDescent="0.3">
      <c r="E101" s="276"/>
      <c r="F101" s="276"/>
    </row>
    <row r="102" spans="5:6" x14ac:dyDescent="0.3">
      <c r="E102" s="276"/>
      <c r="F102" s="276"/>
    </row>
  </sheetData>
  <mergeCells count="1">
    <mergeCell ref="I4:I8"/>
  </mergeCells>
  <phoneticPr fontId="7" type="noConversion"/>
  <printOptions horizontalCentered="1" gridLines="1"/>
  <pageMargins left="0.11811023622047245" right="0.11811023622047245" top="0.15748031496062992" bottom="0" header="0.31496062992125984" footer="0.11811023622047245"/>
  <pageSetup paperSize="9" scale="63" orientation="landscape" blackAndWhite="1" r:id="rId1"/>
  <rowBreaks count="2" manualBreakCount="2">
    <brk id="32" max="8"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D2D6-B60D-48FE-A9FF-F77B9DB73A68}">
  <sheetPr>
    <tabColor theme="7"/>
  </sheetPr>
  <dimension ref="A1:U80"/>
  <sheetViews>
    <sheetView view="pageBreakPreview" zoomScaleNormal="100" zoomScaleSheetLayoutView="100" workbookViewId="0">
      <pane xSplit="4" ySplit="3" topLeftCell="E18" activePane="bottomRight" state="frozen"/>
      <selection activeCell="A39" sqref="A39"/>
      <selection pane="topRight" activeCell="A39" sqref="A39"/>
      <selection pane="bottomLeft" activeCell="A39" sqref="A39"/>
      <selection pane="bottomRight" activeCell="D26" sqref="D26"/>
    </sheetView>
  </sheetViews>
  <sheetFormatPr defaultColWidth="8.88671875" defaultRowHeight="13.8" x14ac:dyDescent="0.3"/>
  <cols>
    <col min="1" max="1" width="5.77734375" style="57" bestFit="1" customWidth="1"/>
    <col min="2" max="2" width="17.44140625" style="48" bestFit="1" customWidth="1"/>
    <col min="3" max="3" width="36.88671875" style="38" bestFit="1" customWidth="1"/>
    <col min="4" max="4" width="8.44140625" style="238" bestFit="1" customWidth="1"/>
    <col min="5" max="5" width="8.44140625" style="219" bestFit="1" customWidth="1"/>
    <col min="6" max="6" width="8.44140625" style="60" bestFit="1" customWidth="1"/>
    <col min="7" max="7" width="51.21875" style="62" bestFit="1" customWidth="1"/>
    <col min="8" max="15" width="13.109375" style="62" customWidth="1"/>
    <col min="16" max="16" width="10.44140625" style="39" customWidth="1"/>
    <col min="17" max="17" width="40.44140625" style="47" bestFit="1" customWidth="1"/>
    <col min="18" max="18" width="8.88671875" style="205"/>
    <col min="19" max="16384" width="8.88671875" style="38"/>
  </cols>
  <sheetData>
    <row r="1" spans="1:21" ht="14.4" customHeight="1" x14ac:dyDescent="0.3">
      <c r="A1" s="55" t="s">
        <v>254</v>
      </c>
      <c r="B1" s="38"/>
      <c r="E1" s="218"/>
      <c r="F1" s="59"/>
      <c r="G1" s="260"/>
      <c r="H1" s="61"/>
      <c r="I1" s="61"/>
      <c r="J1" s="61"/>
      <c r="K1" s="61"/>
      <c r="L1" s="61"/>
      <c r="M1" s="61"/>
      <c r="N1" s="61"/>
      <c r="O1" s="61"/>
      <c r="P1" s="38"/>
      <c r="Q1" s="38"/>
    </row>
    <row r="2" spans="1:21" ht="14.4" customHeight="1" x14ac:dyDescent="0.3">
      <c r="A2" s="55"/>
      <c r="B2" s="38"/>
      <c r="E2" s="218"/>
      <c r="F2" s="59"/>
      <c r="G2" s="260"/>
      <c r="H2" s="61"/>
      <c r="I2" s="61"/>
      <c r="J2" s="61"/>
      <c r="K2" s="61"/>
      <c r="L2" s="61"/>
      <c r="M2" s="61"/>
      <c r="N2" s="61"/>
      <c r="O2" s="61"/>
      <c r="P2" s="38"/>
      <c r="Q2" s="38"/>
    </row>
    <row r="3" spans="1:21" s="173" customFormat="1" ht="41.4" x14ac:dyDescent="0.3">
      <c r="A3" s="211" t="s">
        <v>148</v>
      </c>
      <c r="B3" s="170" t="s">
        <v>149</v>
      </c>
      <c r="C3" s="212" t="s">
        <v>69</v>
      </c>
      <c r="D3" s="239" t="str">
        <f>CONSOLE!B4</f>
        <v>ACTUAL (YTD)       2020/21</v>
      </c>
      <c r="E3" s="213" t="str">
        <f>[1]CONSOLE!C4</f>
        <v>BUDGET (YTD) 2021/22</v>
      </c>
      <c r="F3" s="213" t="str">
        <f>[1]CONSOLE!D4</f>
        <v>BUDGET (YTD) 2022/23</v>
      </c>
      <c r="G3" s="213" t="str">
        <f>[1]CONSOLE!E4</f>
        <v xml:space="preserve">
VARIANCE            Budget 2021 vs Budget 2022</v>
      </c>
      <c r="H3" s="214"/>
      <c r="I3" s="214"/>
      <c r="J3" s="214"/>
      <c r="K3" s="214"/>
      <c r="L3" s="214"/>
      <c r="M3" s="214"/>
      <c r="N3" s="214"/>
      <c r="O3" s="214"/>
      <c r="P3" s="215" t="s">
        <v>251</v>
      </c>
      <c r="Q3" s="216" t="s">
        <v>252</v>
      </c>
      <c r="R3" s="217"/>
    </row>
    <row r="4" spans="1:21" ht="13.8" customHeight="1" x14ac:dyDescent="0.3">
      <c r="A4" s="53">
        <v>4000</v>
      </c>
      <c r="B4" s="41">
        <v>4.2361111111111106E-2</v>
      </c>
      <c r="C4" s="40" t="s">
        <v>2</v>
      </c>
      <c r="D4" s="238">
        <f>'TB21'!E31</f>
        <v>14547.12</v>
      </c>
      <c r="E4" s="219">
        <f>15197.13*0.91</f>
        <v>13829.388300000001</v>
      </c>
      <c r="F4" s="60">
        <f>D4*1.05</f>
        <v>15274.476000000002</v>
      </c>
      <c r="G4" s="63" t="str">
        <f>IFERROR((E4-#REF!),"")</f>
        <v/>
      </c>
      <c r="H4" s="63"/>
      <c r="I4" s="63"/>
      <c r="J4" s="63"/>
      <c r="K4" s="63"/>
      <c r="L4" s="63"/>
      <c r="M4" s="63"/>
      <c r="N4" s="63"/>
      <c r="O4" s="63"/>
      <c r="P4" s="39" t="str">
        <f>IFERROR((E4-#REF!)/#REF!,"")</f>
        <v/>
      </c>
      <c r="Q4" s="42" t="s">
        <v>255</v>
      </c>
      <c r="R4" s="205">
        <f>E4/12</f>
        <v>1152.4490250000001</v>
      </c>
    </row>
    <row r="5" spans="1:21" ht="13.8" customHeight="1" x14ac:dyDescent="0.3">
      <c r="A5" s="53">
        <v>4002</v>
      </c>
      <c r="B5" s="41">
        <v>4.3055555555555562E-2</v>
      </c>
      <c r="C5" s="40" t="s">
        <v>70</v>
      </c>
      <c r="D5" s="238">
        <f>'TB21'!E32</f>
        <v>5106.3099999999995</v>
      </c>
      <c r="E5" s="219">
        <f>5479.22*0.91</f>
        <v>4986.0902000000006</v>
      </c>
      <c r="F5" s="60">
        <f t="shared" ref="F5:F8" si="0">D5*1.05</f>
        <v>5361.6255000000001</v>
      </c>
      <c r="G5" s="63" t="str">
        <f>IFERROR((E5-#REF!),"")</f>
        <v/>
      </c>
      <c r="H5" s="63"/>
      <c r="I5" s="63"/>
      <c r="J5" s="63"/>
      <c r="K5" s="63"/>
      <c r="L5" s="63"/>
      <c r="M5" s="63"/>
      <c r="N5" s="63"/>
      <c r="O5" s="63"/>
      <c r="P5" s="39" t="str">
        <f>IFERROR((E5-#REF!)/#REF!,"")</f>
        <v/>
      </c>
      <c r="Q5" s="42"/>
      <c r="R5" s="205">
        <f t="shared" ref="R5:R12" si="1">E5/12</f>
        <v>415.50751666666673</v>
      </c>
      <c r="U5" s="38">
        <f>LHA!G11</f>
        <v>0</v>
      </c>
    </row>
    <row r="6" spans="1:21" ht="13.8" customHeight="1" x14ac:dyDescent="0.3">
      <c r="A6" s="53">
        <v>4003</v>
      </c>
      <c r="B6" s="41">
        <v>4.3750000000000004E-2</v>
      </c>
      <c r="C6" s="58" t="s">
        <v>71</v>
      </c>
      <c r="D6" s="238">
        <f>'TB21'!E33</f>
        <v>23634.35</v>
      </c>
      <c r="E6" s="219">
        <f>25775.39*0.91</f>
        <v>23455.604900000002</v>
      </c>
      <c r="F6" s="60">
        <f t="shared" si="0"/>
        <v>24816.067500000001</v>
      </c>
      <c r="G6" s="63" t="str">
        <f>IFERROR((E6-#REF!),"")</f>
        <v/>
      </c>
      <c r="H6" s="63"/>
      <c r="I6" s="63"/>
      <c r="J6" s="63"/>
      <c r="K6" s="63"/>
      <c r="L6" s="63"/>
      <c r="M6" s="63"/>
      <c r="N6" s="63"/>
      <c r="O6" s="63"/>
      <c r="P6" s="39" t="str">
        <f>IFERROR((E6-#REF!)/#REF!,"")</f>
        <v/>
      </c>
      <c r="Q6" s="42"/>
      <c r="R6" s="205">
        <f t="shared" si="1"/>
        <v>1954.6337416666668</v>
      </c>
      <c r="U6" s="38">
        <f>LHA!G12</f>
        <v>-2000</v>
      </c>
    </row>
    <row r="7" spans="1:21" ht="13.8" customHeight="1" x14ac:dyDescent="0.3">
      <c r="A7" s="53">
        <v>4005</v>
      </c>
      <c r="B7" s="41">
        <v>4.4444444444444446E-2</v>
      </c>
      <c r="C7" s="40" t="s">
        <v>6</v>
      </c>
      <c r="D7" s="238">
        <f>'TB21'!E34</f>
        <v>13387.029999999999</v>
      </c>
      <c r="E7" s="219">
        <f>14071.03*0.91+480</f>
        <v>13284.6373</v>
      </c>
      <c r="F7" s="60">
        <f t="shared" si="0"/>
        <v>14056.3815</v>
      </c>
      <c r="G7" s="63" t="str">
        <f>IFERROR((E7-#REF!),"")</f>
        <v/>
      </c>
      <c r="H7" s="63"/>
      <c r="I7" s="63"/>
      <c r="J7" s="63"/>
      <c r="K7" s="63"/>
      <c r="L7" s="63"/>
      <c r="M7" s="63"/>
      <c r="N7" s="63"/>
      <c r="O7" s="63"/>
      <c r="P7" s="39" t="str">
        <f>IFERROR((E7-#REF!)/#REF!,"")</f>
        <v/>
      </c>
      <c r="Q7" s="42"/>
      <c r="R7" s="205">
        <f t="shared" si="1"/>
        <v>1107.0531083333333</v>
      </c>
      <c r="U7" s="38">
        <f>LHA!G13</f>
        <v>-700</v>
      </c>
    </row>
    <row r="8" spans="1:21" ht="13.8" customHeight="1" x14ac:dyDescent="0.3">
      <c r="A8" s="53">
        <v>4006</v>
      </c>
      <c r="B8" s="41">
        <v>4.5138888888888888E-2</v>
      </c>
      <c r="C8" s="40" t="s">
        <v>8</v>
      </c>
      <c r="D8" s="238">
        <f>'TB21'!E35</f>
        <v>350.52</v>
      </c>
      <c r="E8" s="219">
        <f>404.96*0.91</f>
        <v>368.5136</v>
      </c>
      <c r="F8" s="60">
        <f t="shared" si="0"/>
        <v>368.04599999999999</v>
      </c>
      <c r="G8" s="63" t="str">
        <f>IFERROR((E8-#REF!),"")</f>
        <v/>
      </c>
      <c r="H8" s="63"/>
      <c r="I8" s="63"/>
      <c r="J8" s="63"/>
      <c r="K8" s="63"/>
      <c r="L8" s="63"/>
      <c r="M8" s="63"/>
      <c r="N8" s="63"/>
      <c r="O8" s="63"/>
      <c r="P8" s="39" t="str">
        <f>IFERROR((E8-#REF!)/#REF!,"")</f>
        <v/>
      </c>
      <c r="Q8" s="42"/>
      <c r="R8" s="205">
        <f t="shared" si="1"/>
        <v>30.709466666666668</v>
      </c>
      <c r="U8" s="38">
        <f>LHA!G14</f>
        <v>-700</v>
      </c>
    </row>
    <row r="9" spans="1:21" ht="13.8" customHeight="1" x14ac:dyDescent="0.3">
      <c r="A9" s="53">
        <v>4012</v>
      </c>
      <c r="B9" s="41">
        <v>4.5833333333333337E-2</v>
      </c>
      <c r="C9" s="40" t="s">
        <v>72</v>
      </c>
      <c r="G9" s="63"/>
      <c r="H9" s="63"/>
      <c r="I9" s="63"/>
      <c r="J9" s="63"/>
      <c r="K9" s="63"/>
      <c r="L9" s="63"/>
      <c r="M9" s="63"/>
      <c r="N9" s="63"/>
      <c r="O9" s="63"/>
      <c r="P9" s="39" t="str">
        <f>IFERROR((E9-#REF!)/#REF!,"")</f>
        <v/>
      </c>
      <c r="Q9" s="42"/>
      <c r="R9" s="205">
        <f t="shared" si="1"/>
        <v>0</v>
      </c>
      <c r="U9" s="38">
        <f>LHA!G14</f>
        <v>-700</v>
      </c>
    </row>
    <row r="10" spans="1:21" ht="13.8" customHeight="1" x14ac:dyDescent="0.3">
      <c r="A10" s="53">
        <v>4013</v>
      </c>
      <c r="B10" s="41">
        <v>4.6527777777777779E-2</v>
      </c>
      <c r="C10" s="40" t="s">
        <v>73</v>
      </c>
      <c r="G10" s="63"/>
      <c r="H10" s="63"/>
      <c r="I10" s="63"/>
      <c r="J10" s="63"/>
      <c r="K10" s="63"/>
      <c r="L10" s="63"/>
      <c r="M10" s="63"/>
      <c r="N10" s="63"/>
      <c r="O10" s="63"/>
      <c r="P10" s="39" t="str">
        <f>IFERROR((E10-#REF!)/#REF!,"")</f>
        <v/>
      </c>
      <c r="Q10" s="42"/>
      <c r="R10" s="205">
        <f t="shared" si="1"/>
        <v>0</v>
      </c>
      <c r="U10" s="38">
        <f>LHA!G23</f>
        <v>-1000</v>
      </c>
    </row>
    <row r="11" spans="1:21" ht="13.8" customHeight="1" x14ac:dyDescent="0.3">
      <c r="A11" s="198">
        <v>4025</v>
      </c>
      <c r="B11" s="41">
        <v>4.7222222222222221E-2</v>
      </c>
      <c r="C11" s="43" t="s">
        <v>249</v>
      </c>
      <c r="G11" s="63"/>
      <c r="H11" s="63"/>
      <c r="I11" s="63"/>
      <c r="J11" s="63"/>
      <c r="K11" s="63"/>
      <c r="L11" s="63"/>
      <c r="M11" s="63"/>
      <c r="N11" s="63"/>
      <c r="O11" s="63"/>
      <c r="P11" s="39" t="str">
        <f>IFERROR((E11-#REF!)/#REF!,"")</f>
        <v/>
      </c>
      <c r="Q11" s="42"/>
      <c r="R11" s="205">
        <f t="shared" si="1"/>
        <v>0</v>
      </c>
      <c r="U11" s="38">
        <f>LHA!G24</f>
        <v>1200</v>
      </c>
    </row>
    <row r="12" spans="1:21" x14ac:dyDescent="0.3">
      <c r="A12" s="198"/>
      <c r="C12" s="58" t="s">
        <v>74</v>
      </c>
      <c r="D12" s="238">
        <f t="shared" ref="D12:F12" si="2">SUBTOTAL(9,D4:D11)</f>
        <v>57025.329999999994</v>
      </c>
      <c r="E12" s="219">
        <f t="shared" si="2"/>
        <v>55924.234300000004</v>
      </c>
      <c r="F12" s="60">
        <f t="shared" si="2"/>
        <v>59876.596500000014</v>
      </c>
      <c r="R12" s="205">
        <f t="shared" si="1"/>
        <v>4660.3528583333336</v>
      </c>
      <c r="S12" s="38">
        <f>R12+LHA!M8</f>
        <v>20857.102858333332</v>
      </c>
      <c r="U12" s="38">
        <f>LHA!G26</f>
        <v>-2600</v>
      </c>
    </row>
    <row r="13" spans="1:21" s="226" customFormat="1" ht="41.4" x14ac:dyDescent="0.3">
      <c r="A13" s="220" t="s">
        <v>88</v>
      </c>
      <c r="B13" s="221" t="s">
        <v>84</v>
      </c>
      <c r="C13" s="222" t="s">
        <v>84</v>
      </c>
      <c r="D13" s="239" t="str">
        <f>D3</f>
        <v>ACTUAL (YTD)       2020/21</v>
      </c>
      <c r="E13" s="223" t="str">
        <f>E3</f>
        <v>BUDGET (YTD) 2021/22</v>
      </c>
      <c r="F13" s="224" t="str">
        <f>F3</f>
        <v>BUDGET (YTD) 2022/23</v>
      </c>
      <c r="G13" s="214" t="str">
        <f>G3</f>
        <v xml:space="preserve">
VARIANCE            Budget 2021 vs Budget 2022</v>
      </c>
      <c r="H13" s="214"/>
      <c r="I13" s="214"/>
      <c r="J13" s="214"/>
      <c r="K13" s="214"/>
      <c r="L13" s="214"/>
      <c r="M13" s="214"/>
      <c r="N13" s="214"/>
      <c r="O13" s="214"/>
      <c r="P13" s="215"/>
      <c r="Q13" s="165"/>
      <c r="R13" s="225"/>
      <c r="U13" s="226">
        <f>SUM(U5:U12)</f>
        <v>-6500</v>
      </c>
    </row>
    <row r="14" spans="1:21" ht="13.8" customHeight="1" x14ac:dyDescent="0.3">
      <c r="A14" s="56">
        <v>9000</v>
      </c>
      <c r="B14" s="41" t="s">
        <v>155</v>
      </c>
      <c r="C14" s="74" t="s">
        <v>75</v>
      </c>
      <c r="D14" s="238">
        <f>'TB21'!D78+'TB21'!D82+'TB21'!D83</f>
        <v>10273.349999999999</v>
      </c>
      <c r="E14" s="219">
        <f>24000-10000</f>
        <v>14000</v>
      </c>
      <c r="F14" s="60">
        <v>16000</v>
      </c>
      <c r="G14" s="63" t="str">
        <f>IFERROR((E14-#REF!),"")</f>
        <v/>
      </c>
      <c r="H14" s="63"/>
      <c r="I14" s="63"/>
      <c r="J14" s="63"/>
      <c r="K14" s="63"/>
      <c r="L14" s="63"/>
      <c r="M14" s="63"/>
      <c r="N14" s="63"/>
      <c r="O14" s="63"/>
      <c r="P14" s="39">
        <f>IFERROR((E14-D14)/D14,"")</f>
        <v>0.36274924927117269</v>
      </c>
      <c r="Q14" s="75" t="s">
        <v>280</v>
      </c>
    </row>
    <row r="15" spans="1:21" ht="13.8" customHeight="1" x14ac:dyDescent="0.3">
      <c r="A15" s="56">
        <v>9001</v>
      </c>
      <c r="B15" s="41" t="s">
        <v>156</v>
      </c>
      <c r="C15" s="40" t="s">
        <v>76</v>
      </c>
      <c r="D15" s="238">
        <f>'TB21'!D79</f>
        <v>315</v>
      </c>
      <c r="E15" s="219">
        <v>2000</v>
      </c>
      <c r="F15" s="60">
        <v>1000</v>
      </c>
      <c r="G15" s="5" t="str">
        <f>IFERROR((E15-#REF!),"")</f>
        <v/>
      </c>
      <c r="H15" s="5"/>
      <c r="I15" s="5"/>
      <c r="J15" s="5"/>
      <c r="K15" s="5"/>
      <c r="L15" s="5"/>
      <c r="M15" s="5"/>
      <c r="N15" s="5"/>
      <c r="O15" s="5"/>
      <c r="P15" s="39">
        <f>IFERROR((E15-D15)/D15,"")</f>
        <v>5.3492063492063489</v>
      </c>
      <c r="Q15" s="42"/>
    </row>
    <row r="16" spans="1:21" ht="13.8" hidden="1" customHeight="1" x14ac:dyDescent="0.3">
      <c r="A16" s="56">
        <v>9004</v>
      </c>
      <c r="B16" s="41" t="s">
        <v>157</v>
      </c>
      <c r="C16" s="74" t="s">
        <v>77</v>
      </c>
      <c r="E16" s="219">
        <f>500-500</f>
        <v>0</v>
      </c>
      <c r="F16" s="60">
        <v>0</v>
      </c>
      <c r="G16" s="63"/>
      <c r="H16" s="63"/>
      <c r="I16" s="63"/>
      <c r="J16" s="63"/>
      <c r="K16" s="63"/>
      <c r="L16" s="63"/>
      <c r="M16" s="63"/>
      <c r="N16" s="63"/>
      <c r="O16" s="63"/>
      <c r="Q16" s="75" t="s">
        <v>279</v>
      </c>
    </row>
    <row r="17" spans="1:18" ht="13.8" hidden="1" customHeight="1" x14ac:dyDescent="0.3">
      <c r="A17" s="56">
        <v>9005</v>
      </c>
      <c r="B17" s="41" t="s">
        <v>158</v>
      </c>
      <c r="C17" s="74" t="s">
        <v>78</v>
      </c>
      <c r="E17" s="219">
        <f>500-500</f>
        <v>0</v>
      </c>
      <c r="F17" s="60">
        <v>0</v>
      </c>
      <c r="G17" s="63"/>
      <c r="H17" s="63"/>
      <c r="I17" s="63"/>
      <c r="J17" s="63"/>
      <c r="K17" s="63"/>
      <c r="L17" s="63"/>
      <c r="M17" s="63"/>
      <c r="N17" s="63"/>
      <c r="O17" s="63"/>
      <c r="P17" s="39" t="str">
        <f>IFERROR((E17-D17)/D17,"")</f>
        <v/>
      </c>
      <c r="Q17" s="75" t="s">
        <v>279</v>
      </c>
    </row>
    <row r="18" spans="1:18" ht="13.8" customHeight="1" x14ac:dyDescent="0.3">
      <c r="A18" s="56">
        <v>9006</v>
      </c>
      <c r="B18" s="41" t="s">
        <v>159</v>
      </c>
      <c r="C18" s="74" t="s">
        <v>79</v>
      </c>
      <c r="D18" s="238">
        <f>'TB21'!D80</f>
        <v>3993.5</v>
      </c>
      <c r="E18" s="219">
        <f>16000-6000</f>
        <v>10000</v>
      </c>
      <c r="F18" s="60">
        <f>D18*3</f>
        <v>11980.5</v>
      </c>
      <c r="G18" s="63" t="s">
        <v>526</v>
      </c>
      <c r="H18" s="63"/>
      <c r="I18" s="63"/>
      <c r="J18" s="63"/>
      <c r="K18" s="63"/>
      <c r="L18" s="63"/>
      <c r="M18" s="63"/>
      <c r="N18" s="63"/>
      <c r="O18" s="63"/>
      <c r="P18" s="39">
        <f>IFERROR((E18-D18)/D18,"")</f>
        <v>1.5040691123074996</v>
      </c>
      <c r="Q18" s="42" t="s">
        <v>247</v>
      </c>
    </row>
    <row r="19" spans="1:18" ht="13.8" hidden="1" customHeight="1" x14ac:dyDescent="0.3">
      <c r="A19" s="56">
        <v>9009</v>
      </c>
      <c r="B19" s="41" t="s">
        <v>160</v>
      </c>
      <c r="C19" s="40" t="s">
        <v>224</v>
      </c>
      <c r="G19" s="63"/>
      <c r="H19" s="63"/>
      <c r="I19" s="63"/>
      <c r="J19" s="63"/>
      <c r="K19" s="63"/>
      <c r="L19" s="63"/>
      <c r="M19" s="63"/>
      <c r="N19" s="63"/>
      <c r="O19" s="63"/>
      <c r="P19" s="39" t="str">
        <f>IFERROR((E19-D19)/D19,"")</f>
        <v/>
      </c>
      <c r="Q19" s="42" t="s">
        <v>256</v>
      </c>
    </row>
    <row r="20" spans="1:18" ht="13.8" customHeight="1" x14ac:dyDescent="0.3">
      <c r="A20" s="56">
        <v>9018</v>
      </c>
      <c r="B20" s="41" t="s">
        <v>161</v>
      </c>
      <c r="C20" s="74" t="s">
        <v>248</v>
      </c>
      <c r="E20" s="219">
        <f>3500-3000</f>
        <v>500</v>
      </c>
      <c r="F20" s="60">
        <v>0</v>
      </c>
      <c r="G20" s="63"/>
      <c r="H20" s="63"/>
      <c r="I20" s="63"/>
      <c r="J20" s="63"/>
      <c r="K20" s="63"/>
      <c r="L20" s="63"/>
      <c r="M20" s="63"/>
      <c r="N20" s="63"/>
      <c r="O20" s="63"/>
      <c r="P20" s="39" t="str">
        <f>IFERROR((E20-D20)/D20,"")</f>
        <v/>
      </c>
      <c r="Q20" s="75" t="s">
        <v>281</v>
      </c>
    </row>
    <row r="21" spans="1:18" x14ac:dyDescent="0.3">
      <c r="A21" s="56">
        <v>9022</v>
      </c>
      <c r="B21" s="41" t="s">
        <v>162</v>
      </c>
      <c r="C21" s="40" t="s">
        <v>80</v>
      </c>
      <c r="G21" s="63"/>
      <c r="H21" s="63"/>
      <c r="I21" s="63"/>
      <c r="J21" s="63"/>
      <c r="K21" s="63"/>
      <c r="L21" s="63"/>
      <c r="M21" s="63"/>
      <c r="N21" s="63"/>
      <c r="O21" s="63"/>
      <c r="P21" s="39" t="str">
        <f>IFERROR((E21-D21)/D21,"")</f>
        <v/>
      </c>
      <c r="Q21" s="42"/>
    </row>
    <row r="22" spans="1:18" s="47" customFormat="1" x14ac:dyDescent="0.3">
      <c r="A22" s="57"/>
      <c r="B22" s="44"/>
      <c r="C22" s="45" t="s">
        <v>95</v>
      </c>
      <c r="D22" s="238">
        <f>SUBTOTAL(9,D14:D21)</f>
        <v>14581.849999999999</v>
      </c>
      <c r="E22" s="219">
        <f>SUBTOTAL(9,E14:E21)</f>
        <v>26500</v>
      </c>
      <c r="F22" s="60">
        <f>SUBTOTAL(9,F14:F21)</f>
        <v>28980.5</v>
      </c>
      <c r="G22" s="63" t="str">
        <f>IFERROR((E22-#REF!),"")</f>
        <v/>
      </c>
      <c r="H22" s="63"/>
      <c r="I22" s="63"/>
      <c r="J22" s="63"/>
      <c r="K22" s="63"/>
      <c r="L22" s="63"/>
      <c r="M22" s="63"/>
      <c r="N22" s="63"/>
      <c r="O22" s="63"/>
      <c r="P22" s="39">
        <f>Q22/D22</f>
        <v>0.81732770533231403</v>
      </c>
      <c r="Q22" s="46">
        <f>E22-D22</f>
        <v>11918.150000000001</v>
      </c>
      <c r="R22" s="205"/>
    </row>
    <row r="23" spans="1:18" s="47" customFormat="1" x14ac:dyDescent="0.3">
      <c r="A23" s="57"/>
      <c r="B23" s="44">
        <v>3</v>
      </c>
      <c r="C23" s="45" t="s">
        <v>581</v>
      </c>
      <c r="D23" s="238">
        <f>LHA!D51</f>
        <v>14595.025199999998</v>
      </c>
      <c r="E23" s="219">
        <f>LHA!E51</f>
        <v>14522.405099999998</v>
      </c>
      <c r="F23" s="60">
        <f>LHA!F51</f>
        <v>16259.329086</v>
      </c>
      <c r="G23" s="63" t="str">
        <f>IFERROR((E23-#REF!),"")</f>
        <v/>
      </c>
      <c r="H23" s="63"/>
      <c r="I23" s="63"/>
      <c r="J23" s="63"/>
      <c r="K23" s="63"/>
      <c r="L23" s="63"/>
      <c r="M23" s="63"/>
      <c r="N23" s="63"/>
      <c r="O23" s="63"/>
      <c r="P23" s="39">
        <f>Q23/D23</f>
        <v>-4.9756748621441298E-3</v>
      </c>
      <c r="Q23" s="46">
        <f>E23-D23</f>
        <v>-72.620100000000093</v>
      </c>
      <c r="R23" s="205"/>
    </row>
    <row r="24" spans="1:18" s="47" customFormat="1" x14ac:dyDescent="0.3">
      <c r="A24" s="57"/>
      <c r="B24" s="44">
        <v>4</v>
      </c>
      <c r="C24" s="45" t="s">
        <v>611</v>
      </c>
      <c r="D24" s="316">
        <f>LHA!D88</f>
        <v>30482.679727872001</v>
      </c>
      <c r="E24" s="317">
        <f>LHA!E88</f>
        <v>35015.002784160999</v>
      </c>
      <c r="F24" s="317">
        <f>LHA!F88</f>
        <v>38456.541685156459</v>
      </c>
      <c r="G24" s="63"/>
      <c r="H24" s="63"/>
      <c r="I24" s="63"/>
      <c r="J24" s="63"/>
      <c r="K24" s="63"/>
      <c r="L24" s="63"/>
      <c r="M24" s="63"/>
      <c r="N24" s="63"/>
      <c r="O24" s="63"/>
      <c r="P24" s="39"/>
      <c r="Q24" s="46"/>
      <c r="R24" s="205"/>
    </row>
    <row r="25" spans="1:18" s="47" customFormat="1" x14ac:dyDescent="0.3">
      <c r="A25" s="57"/>
      <c r="B25" s="44"/>
      <c r="C25" s="45" t="s">
        <v>228</v>
      </c>
      <c r="D25" s="316">
        <f>SUBTOTAL(9,D23:D24)</f>
        <v>45077.704927872001</v>
      </c>
      <c r="E25" s="317">
        <f>SUBTOTAL(9,E23:E24)</f>
        <v>49537.407884160995</v>
      </c>
      <c r="F25" s="317">
        <f>SUBTOTAL(9,F23:F24)</f>
        <v>54715.870771156457</v>
      </c>
      <c r="G25" s="63" t="str">
        <f>IFERROR((E25-#REF!),"")</f>
        <v/>
      </c>
      <c r="H25" s="63"/>
      <c r="I25" s="63"/>
      <c r="J25" s="63"/>
      <c r="K25" s="63"/>
      <c r="L25" s="63"/>
      <c r="M25" s="63"/>
      <c r="N25" s="63"/>
      <c r="O25" s="63"/>
      <c r="P25" s="39">
        <f>Q25/D25</f>
        <v>9.8933673828889082E-2</v>
      </c>
      <c r="Q25" s="46">
        <f>E25-D25</f>
        <v>4459.7029562889948</v>
      </c>
      <c r="R25" s="205"/>
    </row>
    <row r="26" spans="1:18" s="165" customFormat="1" x14ac:dyDescent="0.3">
      <c r="A26" s="292"/>
      <c r="B26" s="271"/>
      <c r="C26" s="164" t="s">
        <v>85</v>
      </c>
      <c r="D26" s="311">
        <f>D12-D22-D25</f>
        <v>-2634.2249278720046</v>
      </c>
      <c r="E26" s="311">
        <f>E12-E22-E25</f>
        <v>-20113.173584160992</v>
      </c>
      <c r="F26" s="311">
        <f>F12-F22-F25</f>
        <v>-23819.774271156442</v>
      </c>
      <c r="G26" s="293" t="str">
        <f>IFERROR((E26-#REF!),"")</f>
        <v/>
      </c>
      <c r="H26" s="293"/>
      <c r="I26" s="293"/>
      <c r="J26" s="293"/>
      <c r="K26" s="293"/>
      <c r="L26" s="293"/>
      <c r="M26" s="293"/>
      <c r="N26" s="293"/>
      <c r="O26" s="293"/>
      <c r="P26" s="215">
        <f>Q26/D26</f>
        <v>6.6353288480983803</v>
      </c>
      <c r="Q26" s="294">
        <f>E26-D26</f>
        <v>-17478.948656288987</v>
      </c>
      <c r="R26" s="225"/>
    </row>
    <row r="80" spans="17:17" x14ac:dyDescent="0.3">
      <c r="Q80" s="49"/>
    </row>
  </sheetData>
  <printOptions horizontalCentered="1" gridLines="1"/>
  <pageMargins left="0.31496062992125984" right="0.31496062992125984" top="0.35433070866141736" bottom="0.15748031496062992" header="0.31496062992125984" footer="0.11811023622047245"/>
  <pageSetup paperSize="9" scale="9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0108-C10F-464A-BD47-A3C3549B6477}">
  <dimension ref="B1:E83"/>
  <sheetViews>
    <sheetView workbookViewId="0">
      <selection activeCell="F17" sqref="F17"/>
    </sheetView>
  </sheetViews>
  <sheetFormatPr defaultColWidth="9.109375" defaultRowHeight="13.8" x14ac:dyDescent="0.3"/>
  <cols>
    <col min="1" max="1" width="6.77734375" style="258" customWidth="1"/>
    <col min="2" max="2" width="6" style="258" bestFit="1" customWidth="1"/>
    <col min="3" max="3" width="39.88671875" style="258" bestFit="1" customWidth="1"/>
    <col min="4" max="5" width="11" style="210" bestFit="1" customWidth="1"/>
    <col min="6" max="16384" width="9.109375" style="258"/>
  </cols>
  <sheetData>
    <row r="1" spans="2:5" x14ac:dyDescent="0.3">
      <c r="B1" s="257" t="s">
        <v>517</v>
      </c>
      <c r="C1" s="257" t="s">
        <v>97</v>
      </c>
      <c r="D1" s="208" t="s">
        <v>516</v>
      </c>
      <c r="E1" s="208" t="s">
        <v>515</v>
      </c>
    </row>
    <row r="2" spans="2:5" x14ac:dyDescent="0.3">
      <c r="B2" s="259" t="s">
        <v>514</v>
      </c>
      <c r="C2" s="259" t="s">
        <v>513</v>
      </c>
      <c r="D2" s="209">
        <v>7364.65</v>
      </c>
    </row>
    <row r="3" spans="2:5" x14ac:dyDescent="0.3">
      <c r="B3" s="259" t="s">
        <v>512</v>
      </c>
      <c r="C3" s="259" t="s">
        <v>511</v>
      </c>
      <c r="E3" s="209">
        <v>1491.15</v>
      </c>
    </row>
    <row r="4" spans="2:5" x14ac:dyDescent="0.3">
      <c r="B4" s="259" t="s">
        <v>510</v>
      </c>
      <c r="C4" s="259" t="s">
        <v>509</v>
      </c>
      <c r="D4" s="209">
        <v>1256.04</v>
      </c>
    </row>
    <row r="5" spans="2:5" x14ac:dyDescent="0.3">
      <c r="B5" s="259" t="s">
        <v>508</v>
      </c>
      <c r="C5" s="259" t="s">
        <v>507</v>
      </c>
      <c r="E5" s="209">
        <v>915.58999999999992</v>
      </c>
    </row>
    <row r="6" spans="2:5" x14ac:dyDescent="0.3">
      <c r="B6" s="259" t="s">
        <v>506</v>
      </c>
      <c r="C6" s="259" t="s">
        <v>505</v>
      </c>
      <c r="D6" s="209">
        <v>24472.44</v>
      </c>
    </row>
    <row r="7" spans="2:5" x14ac:dyDescent="0.3">
      <c r="B7" s="259" t="s">
        <v>504</v>
      </c>
      <c r="C7" s="259" t="s">
        <v>503</v>
      </c>
      <c r="E7" s="209">
        <v>24472.44</v>
      </c>
    </row>
    <row r="8" spans="2:5" x14ac:dyDescent="0.3">
      <c r="B8" s="259" t="s">
        <v>502</v>
      </c>
      <c r="C8" s="259" t="s">
        <v>501</v>
      </c>
      <c r="E8" s="209">
        <v>355.71</v>
      </c>
    </row>
    <row r="9" spans="2:5" x14ac:dyDescent="0.3">
      <c r="B9" s="259" t="s">
        <v>500</v>
      </c>
      <c r="C9" s="259" t="s">
        <v>499</v>
      </c>
      <c r="D9" s="209">
        <v>1500.47</v>
      </c>
    </row>
    <row r="10" spans="2:5" x14ac:dyDescent="0.3">
      <c r="B10" s="259" t="s">
        <v>498</v>
      </c>
      <c r="C10" s="259" t="s">
        <v>135</v>
      </c>
      <c r="D10" s="209">
        <v>2345.56</v>
      </c>
    </row>
    <row r="11" spans="2:5" x14ac:dyDescent="0.3">
      <c r="B11" s="259" t="s">
        <v>497</v>
      </c>
      <c r="C11" s="259" t="s">
        <v>496</v>
      </c>
      <c r="D11" s="209">
        <v>11397.869999999999</v>
      </c>
    </row>
    <row r="12" spans="2:5" x14ac:dyDescent="0.3">
      <c r="B12" s="259" t="s">
        <v>495</v>
      </c>
      <c r="C12" s="259" t="s">
        <v>494</v>
      </c>
      <c r="E12" s="209">
        <v>65.25</v>
      </c>
    </row>
    <row r="13" spans="2:5" x14ac:dyDescent="0.3">
      <c r="B13" s="259" t="s">
        <v>493</v>
      </c>
      <c r="C13" s="259" t="s">
        <v>492</v>
      </c>
      <c r="D13" s="209">
        <v>9517.630000000001</v>
      </c>
    </row>
    <row r="14" spans="2:5" x14ac:dyDescent="0.3">
      <c r="B14" s="259" t="s">
        <v>491</v>
      </c>
      <c r="C14" s="259" t="s">
        <v>141</v>
      </c>
      <c r="D14" s="209">
        <v>22568.79</v>
      </c>
    </row>
    <row r="15" spans="2:5" x14ac:dyDescent="0.3">
      <c r="B15" s="259" t="s">
        <v>490</v>
      </c>
      <c r="C15" s="259" t="s">
        <v>489</v>
      </c>
      <c r="D15" s="209">
        <v>235059.87000000002</v>
      </c>
    </row>
    <row r="16" spans="2:5" x14ac:dyDescent="0.3">
      <c r="B16" s="259" t="s">
        <v>488</v>
      </c>
      <c r="C16" s="259" t="s">
        <v>487</v>
      </c>
      <c r="E16" s="209">
        <v>1069.0899999999999</v>
      </c>
    </row>
    <row r="17" spans="2:5" x14ac:dyDescent="0.3">
      <c r="B17" s="259" t="s">
        <v>486</v>
      </c>
      <c r="C17" s="259" t="s">
        <v>485</v>
      </c>
      <c r="E17" s="209">
        <v>14583.05</v>
      </c>
    </row>
    <row r="18" spans="2:5" x14ac:dyDescent="0.3">
      <c r="B18" s="259" t="s">
        <v>484</v>
      </c>
      <c r="C18" s="259" t="s">
        <v>483</v>
      </c>
      <c r="E18" s="209">
        <v>3743.16</v>
      </c>
    </row>
    <row r="19" spans="2:5" x14ac:dyDescent="0.3">
      <c r="B19" s="259" t="s">
        <v>482</v>
      </c>
      <c r="C19" s="259" t="s">
        <v>481</v>
      </c>
      <c r="E19" s="209">
        <v>200234.05</v>
      </c>
    </row>
    <row r="20" spans="2:5" x14ac:dyDescent="0.3">
      <c r="B20" s="259" t="s">
        <v>480</v>
      </c>
      <c r="C20" s="259" t="s">
        <v>479</v>
      </c>
      <c r="E20" s="209">
        <v>2787.8</v>
      </c>
    </row>
    <row r="21" spans="2:5" x14ac:dyDescent="0.3">
      <c r="B21" s="259" t="s">
        <v>478</v>
      </c>
      <c r="C21" s="259" t="s">
        <v>477</v>
      </c>
      <c r="E21" s="209">
        <v>395</v>
      </c>
    </row>
    <row r="22" spans="2:5" x14ac:dyDescent="0.3">
      <c r="B22" s="259" t="s">
        <v>476</v>
      </c>
      <c r="C22" s="259" t="s">
        <v>475</v>
      </c>
      <c r="E22" s="209">
        <v>88.24</v>
      </c>
    </row>
    <row r="23" spans="2:5" x14ac:dyDescent="0.3">
      <c r="B23" s="259" t="s">
        <v>474</v>
      </c>
      <c r="C23" s="259" t="s">
        <v>473</v>
      </c>
      <c r="E23" s="209">
        <v>4782.1000000000004</v>
      </c>
    </row>
    <row r="24" spans="2:5" x14ac:dyDescent="0.3">
      <c r="B24" s="259" t="s">
        <v>472</v>
      </c>
      <c r="C24" s="259" t="s">
        <v>471</v>
      </c>
      <c r="E24" s="209">
        <v>10356.719999999999</v>
      </c>
    </row>
    <row r="25" spans="2:5" x14ac:dyDescent="0.3">
      <c r="B25" s="259" t="s">
        <v>470</v>
      </c>
      <c r="C25" s="259" t="s">
        <v>469</v>
      </c>
      <c r="D25" s="209">
        <v>1381.94</v>
      </c>
    </row>
    <row r="26" spans="2:5" x14ac:dyDescent="0.3">
      <c r="B26" s="259" t="s">
        <v>468</v>
      </c>
      <c r="C26" s="259" t="s">
        <v>467</v>
      </c>
      <c r="E26" s="209">
        <v>23229.32</v>
      </c>
    </row>
    <row r="27" spans="2:5" x14ac:dyDescent="0.3">
      <c r="B27" s="259" t="s">
        <v>466</v>
      </c>
      <c r="C27" s="259" t="s">
        <v>465</v>
      </c>
      <c r="D27" s="209">
        <v>7373.24</v>
      </c>
    </row>
    <row r="28" spans="2:5" x14ac:dyDescent="0.3">
      <c r="B28" s="259" t="s">
        <v>464</v>
      </c>
      <c r="C28" s="259" t="s">
        <v>463</v>
      </c>
      <c r="E28" s="209">
        <v>175</v>
      </c>
    </row>
    <row r="29" spans="2:5" x14ac:dyDescent="0.3">
      <c r="B29" s="259" t="s">
        <v>462</v>
      </c>
      <c r="C29" s="259" t="s">
        <v>461</v>
      </c>
      <c r="E29" s="209">
        <v>29070.390000000003</v>
      </c>
    </row>
    <row r="30" spans="2:5" x14ac:dyDescent="0.3">
      <c r="B30" s="259" t="s">
        <v>460</v>
      </c>
      <c r="C30" s="259" t="s">
        <v>459</v>
      </c>
      <c r="D30" s="209">
        <v>29070.720000000001</v>
      </c>
    </row>
    <row r="31" spans="2:5" x14ac:dyDescent="0.3">
      <c r="B31" s="259" t="s">
        <v>458</v>
      </c>
      <c r="C31" s="259" t="s">
        <v>457</v>
      </c>
      <c r="E31" s="236">
        <v>14547.12</v>
      </c>
    </row>
    <row r="32" spans="2:5" x14ac:dyDescent="0.3">
      <c r="B32" s="259" t="s">
        <v>456</v>
      </c>
      <c r="C32" s="259" t="s">
        <v>455</v>
      </c>
      <c r="E32" s="236">
        <v>5106.3099999999995</v>
      </c>
    </row>
    <row r="33" spans="2:5" x14ac:dyDescent="0.3">
      <c r="B33" s="259" t="s">
        <v>454</v>
      </c>
      <c r="C33" s="259" t="s">
        <v>453</v>
      </c>
      <c r="E33" s="237">
        <v>23634.35</v>
      </c>
    </row>
    <row r="34" spans="2:5" x14ac:dyDescent="0.3">
      <c r="B34" s="259" t="s">
        <v>452</v>
      </c>
      <c r="C34" s="259" t="s">
        <v>451</v>
      </c>
      <c r="E34" s="237">
        <v>13387.029999999999</v>
      </c>
    </row>
    <row r="35" spans="2:5" x14ac:dyDescent="0.3">
      <c r="B35" s="259" t="s">
        <v>450</v>
      </c>
      <c r="C35" s="259" t="s">
        <v>449</v>
      </c>
      <c r="E35" s="237">
        <v>350.52</v>
      </c>
    </row>
    <row r="36" spans="2:5" x14ac:dyDescent="0.3">
      <c r="B36" s="259" t="s">
        <v>448</v>
      </c>
      <c r="C36" s="259" t="s">
        <v>447</v>
      </c>
      <c r="E36" s="236">
        <v>194361.19</v>
      </c>
    </row>
    <row r="37" spans="2:5" x14ac:dyDescent="0.3">
      <c r="B37" s="259" t="s">
        <v>446</v>
      </c>
      <c r="C37" s="259" t="s">
        <v>445</v>
      </c>
      <c r="E37" s="209">
        <v>88.31</v>
      </c>
    </row>
    <row r="38" spans="2:5" x14ac:dyDescent="0.3">
      <c r="B38" s="259" t="s">
        <v>444</v>
      </c>
      <c r="C38" s="259" t="s">
        <v>443</v>
      </c>
      <c r="E38" s="209">
        <v>2579.3000000000002</v>
      </c>
    </row>
    <row r="39" spans="2:5" x14ac:dyDescent="0.3">
      <c r="B39" s="259" t="s">
        <v>442</v>
      </c>
      <c r="C39" s="259" t="s">
        <v>441</v>
      </c>
      <c r="E39" s="209">
        <v>130</v>
      </c>
    </row>
    <row r="40" spans="2:5" x14ac:dyDescent="0.3">
      <c r="B40" s="259" t="s">
        <v>440</v>
      </c>
      <c r="C40" s="259" t="s">
        <v>439</v>
      </c>
      <c r="D40" s="236">
        <v>55430.819999999992</v>
      </c>
    </row>
    <row r="41" spans="2:5" x14ac:dyDescent="0.3">
      <c r="B41" s="259" t="s">
        <v>438</v>
      </c>
      <c r="C41" s="259" t="s">
        <v>437</v>
      </c>
      <c r="D41" s="236">
        <v>49138.12</v>
      </c>
    </row>
    <row r="42" spans="2:5" x14ac:dyDescent="0.3">
      <c r="B42" s="259" t="s">
        <v>436</v>
      </c>
      <c r="C42" s="259" t="s">
        <v>435</v>
      </c>
      <c r="D42" s="236">
        <v>5224.83</v>
      </c>
    </row>
    <row r="43" spans="2:5" x14ac:dyDescent="0.3">
      <c r="B43" s="259" t="s">
        <v>434</v>
      </c>
      <c r="C43" s="259" t="s">
        <v>433</v>
      </c>
      <c r="D43" s="236">
        <v>1003.6</v>
      </c>
    </row>
    <row r="44" spans="2:5" x14ac:dyDescent="0.3">
      <c r="B44" s="259" t="s">
        <v>432</v>
      </c>
      <c r="C44" s="259" t="s">
        <v>431</v>
      </c>
      <c r="D44" s="236">
        <v>1170.46</v>
      </c>
    </row>
    <row r="45" spans="2:5" x14ac:dyDescent="0.3">
      <c r="B45" s="259" t="s">
        <v>430</v>
      </c>
      <c r="C45" s="259" t="s">
        <v>429</v>
      </c>
      <c r="D45" s="236">
        <v>2171.8000000000002</v>
      </c>
    </row>
    <row r="46" spans="2:5" x14ac:dyDescent="0.3">
      <c r="B46" s="259" t="s">
        <v>428</v>
      </c>
      <c r="C46" s="259" t="s">
        <v>427</v>
      </c>
      <c r="D46" s="236">
        <v>12219.48</v>
      </c>
    </row>
    <row r="47" spans="2:5" x14ac:dyDescent="0.3">
      <c r="B47" s="259" t="s">
        <v>426</v>
      </c>
      <c r="C47" s="259" t="s">
        <v>425</v>
      </c>
      <c r="D47" s="236">
        <v>23562.06</v>
      </c>
    </row>
    <row r="48" spans="2:5" x14ac:dyDescent="0.3">
      <c r="B48" s="259" t="s">
        <v>424</v>
      </c>
      <c r="C48" s="259" t="s">
        <v>423</v>
      </c>
      <c r="D48" s="236">
        <v>152.22999999999999</v>
      </c>
    </row>
    <row r="49" spans="2:4" x14ac:dyDescent="0.3">
      <c r="B49" s="259" t="s">
        <v>422</v>
      </c>
      <c r="C49" s="259" t="s">
        <v>421</v>
      </c>
      <c r="D49" s="236">
        <v>1012.4399999999999</v>
      </c>
    </row>
    <row r="50" spans="2:4" x14ac:dyDescent="0.3">
      <c r="B50" s="259" t="s">
        <v>420</v>
      </c>
      <c r="C50" s="259" t="s">
        <v>13</v>
      </c>
      <c r="D50" s="236">
        <v>920</v>
      </c>
    </row>
    <row r="51" spans="2:4" x14ac:dyDescent="0.3">
      <c r="B51" s="259" t="s">
        <v>419</v>
      </c>
      <c r="C51" s="259" t="s">
        <v>418</v>
      </c>
      <c r="D51" s="236">
        <v>633.93999999999994</v>
      </c>
    </row>
    <row r="52" spans="2:4" x14ac:dyDescent="0.3">
      <c r="B52" s="259" t="s">
        <v>417</v>
      </c>
      <c r="C52" s="259" t="s">
        <v>416</v>
      </c>
      <c r="D52" s="236">
        <v>6020</v>
      </c>
    </row>
    <row r="53" spans="2:4" x14ac:dyDescent="0.3">
      <c r="B53" s="259" t="s">
        <v>415</v>
      </c>
      <c r="C53" s="259" t="s">
        <v>414</v>
      </c>
      <c r="D53" s="236">
        <v>2148.2799999999997</v>
      </c>
    </row>
    <row r="54" spans="2:4" x14ac:dyDescent="0.3">
      <c r="B54" s="259" t="s">
        <v>413</v>
      </c>
      <c r="C54" s="259" t="s">
        <v>412</v>
      </c>
      <c r="D54" s="236">
        <v>1016.21</v>
      </c>
    </row>
    <row r="55" spans="2:4" x14ac:dyDescent="0.3">
      <c r="B55" s="259" t="s">
        <v>411</v>
      </c>
      <c r="C55" s="259" t="s">
        <v>410</v>
      </c>
      <c r="D55" s="236">
        <v>12000</v>
      </c>
    </row>
    <row r="56" spans="2:4" x14ac:dyDescent="0.3">
      <c r="B56" s="259" t="s">
        <v>409</v>
      </c>
      <c r="C56" s="259" t="s">
        <v>408</v>
      </c>
      <c r="D56" s="236">
        <v>2496</v>
      </c>
    </row>
    <row r="57" spans="2:4" x14ac:dyDescent="0.3">
      <c r="B57" s="259" t="s">
        <v>407</v>
      </c>
      <c r="C57" s="259" t="s">
        <v>406</v>
      </c>
      <c r="D57" s="236">
        <v>3590</v>
      </c>
    </row>
    <row r="58" spans="2:4" x14ac:dyDescent="0.3">
      <c r="B58" s="259" t="s">
        <v>405</v>
      </c>
      <c r="C58" s="259" t="s">
        <v>404</v>
      </c>
      <c r="D58" s="236">
        <v>1994.52</v>
      </c>
    </row>
    <row r="59" spans="2:4" x14ac:dyDescent="0.3">
      <c r="B59" s="259" t="s">
        <v>403</v>
      </c>
      <c r="C59" s="259" t="s">
        <v>402</v>
      </c>
      <c r="D59" s="236">
        <v>90.01</v>
      </c>
    </row>
    <row r="60" spans="2:4" x14ac:dyDescent="0.3">
      <c r="B60" s="259" t="s">
        <v>401</v>
      </c>
      <c r="C60" s="259" t="s">
        <v>400</v>
      </c>
      <c r="D60" s="236">
        <v>368.64</v>
      </c>
    </row>
    <row r="61" spans="2:4" x14ac:dyDescent="0.3">
      <c r="B61" s="259" t="s">
        <v>399</v>
      </c>
      <c r="C61" s="259" t="s">
        <v>398</v>
      </c>
      <c r="D61" s="236">
        <v>822.43</v>
      </c>
    </row>
    <row r="62" spans="2:4" x14ac:dyDescent="0.3">
      <c r="B62" s="259" t="s">
        <v>397</v>
      </c>
      <c r="C62" s="259" t="s">
        <v>396</v>
      </c>
      <c r="D62" s="236">
        <v>2662.63</v>
      </c>
    </row>
    <row r="63" spans="2:4" x14ac:dyDescent="0.3">
      <c r="B63" s="259" t="s">
        <v>395</v>
      </c>
      <c r="C63" s="259" t="s">
        <v>394</v>
      </c>
      <c r="D63" s="236">
        <v>3293.29</v>
      </c>
    </row>
    <row r="64" spans="2:4" x14ac:dyDescent="0.3">
      <c r="B64" s="259" t="s">
        <v>393</v>
      </c>
      <c r="C64" s="259" t="s">
        <v>392</v>
      </c>
      <c r="D64" s="236">
        <v>399.61</v>
      </c>
    </row>
    <row r="65" spans="2:4" x14ac:dyDescent="0.3">
      <c r="B65" s="259" t="s">
        <v>391</v>
      </c>
      <c r="C65" s="259" t="s">
        <v>390</v>
      </c>
      <c r="D65" s="236">
        <v>1152.24</v>
      </c>
    </row>
    <row r="66" spans="2:4" x14ac:dyDescent="0.3">
      <c r="B66" s="259" t="s">
        <v>389</v>
      </c>
      <c r="C66" s="259" t="s">
        <v>388</v>
      </c>
      <c r="D66" s="236">
        <v>0.94000000000000006</v>
      </c>
    </row>
    <row r="67" spans="2:4" x14ac:dyDescent="0.3">
      <c r="B67" s="259" t="s">
        <v>387</v>
      </c>
      <c r="C67" s="259" t="s">
        <v>386</v>
      </c>
      <c r="D67" s="236">
        <v>210</v>
      </c>
    </row>
    <row r="68" spans="2:4" x14ac:dyDescent="0.3">
      <c r="B68" s="259" t="s">
        <v>385</v>
      </c>
      <c r="C68" s="259" t="s">
        <v>384</v>
      </c>
      <c r="D68" s="236">
        <v>149.69999999999999</v>
      </c>
    </row>
    <row r="69" spans="2:4" x14ac:dyDescent="0.3">
      <c r="B69" s="259" t="s">
        <v>383</v>
      </c>
      <c r="C69" s="259" t="s">
        <v>382</v>
      </c>
      <c r="D69" s="236">
        <v>75.33</v>
      </c>
    </row>
    <row r="70" spans="2:4" x14ac:dyDescent="0.3">
      <c r="B70" s="259" t="s">
        <v>381</v>
      </c>
      <c r="C70" s="259" t="s">
        <v>380</v>
      </c>
      <c r="D70" s="236">
        <v>1231.75</v>
      </c>
    </row>
    <row r="71" spans="2:4" x14ac:dyDescent="0.3">
      <c r="B71" s="259" t="s">
        <v>379</v>
      </c>
      <c r="C71" s="259" t="s">
        <v>378</v>
      </c>
      <c r="D71" s="236">
        <v>515.20000000000005</v>
      </c>
    </row>
    <row r="72" spans="2:4" x14ac:dyDescent="0.3">
      <c r="B72" s="259" t="s">
        <v>377</v>
      </c>
      <c r="C72" s="259" t="s">
        <v>376</v>
      </c>
      <c r="D72" s="236">
        <v>279.88</v>
      </c>
    </row>
    <row r="73" spans="2:4" x14ac:dyDescent="0.3">
      <c r="B73" s="259" t="s">
        <v>375</v>
      </c>
      <c r="C73" s="259" t="s">
        <v>374</v>
      </c>
      <c r="D73" s="236">
        <v>498.23999999999995</v>
      </c>
    </row>
    <row r="74" spans="2:4" x14ac:dyDescent="0.3">
      <c r="B74" s="259" t="s">
        <v>373</v>
      </c>
      <c r="C74" s="259" t="s">
        <v>372</v>
      </c>
      <c r="D74" s="236">
        <v>16.72</v>
      </c>
    </row>
    <row r="75" spans="2:4" x14ac:dyDescent="0.3">
      <c r="B75" s="259" t="s">
        <v>371</v>
      </c>
      <c r="C75" s="259" t="s">
        <v>370</v>
      </c>
      <c r="D75" s="236">
        <v>73.72999999999999</v>
      </c>
    </row>
    <row r="76" spans="2:4" x14ac:dyDescent="0.3">
      <c r="B76" s="259" t="s">
        <v>369</v>
      </c>
      <c r="C76" s="259" t="s">
        <v>368</v>
      </c>
      <c r="D76" s="236">
        <v>5325</v>
      </c>
    </row>
    <row r="77" spans="2:4" x14ac:dyDescent="0.3">
      <c r="B77" s="259" t="s">
        <v>367</v>
      </c>
      <c r="C77" s="259" t="s">
        <v>65</v>
      </c>
      <c r="D77" s="236">
        <v>618.36</v>
      </c>
    </row>
    <row r="78" spans="2:4" x14ac:dyDescent="0.3">
      <c r="B78" s="259" t="s">
        <v>366</v>
      </c>
      <c r="C78" s="259" t="s">
        <v>365</v>
      </c>
      <c r="D78" s="236">
        <v>1366.1299999999999</v>
      </c>
    </row>
    <row r="79" spans="2:4" x14ac:dyDescent="0.3">
      <c r="B79" s="259" t="s">
        <v>364</v>
      </c>
      <c r="C79" s="259" t="s">
        <v>363</v>
      </c>
      <c r="D79" s="236">
        <v>315</v>
      </c>
    </row>
    <row r="80" spans="2:4" x14ac:dyDescent="0.3">
      <c r="B80" s="259" t="s">
        <v>362</v>
      </c>
      <c r="C80" s="259" t="s">
        <v>361</v>
      </c>
      <c r="D80" s="236">
        <v>3993.5</v>
      </c>
    </row>
    <row r="81" spans="2:4" x14ac:dyDescent="0.3">
      <c r="B81" s="259" t="s">
        <v>360</v>
      </c>
      <c r="C81" s="259" t="s">
        <v>359</v>
      </c>
      <c r="D81" s="236">
        <v>643.29999999999995</v>
      </c>
    </row>
    <row r="82" spans="2:4" x14ac:dyDescent="0.3">
      <c r="B82" s="259" t="s">
        <v>358</v>
      </c>
      <c r="C82" s="259" t="s">
        <v>357</v>
      </c>
      <c r="D82" s="236">
        <v>8907.2199999999993</v>
      </c>
    </row>
    <row r="83" spans="2:4" hidden="1" x14ac:dyDescent="0.3">
      <c r="B83" s="259" t="s">
        <v>356</v>
      </c>
      <c r="C83" s="259" t="s">
        <v>355</v>
      </c>
      <c r="D83" s="209"/>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9FFD-053F-4A9A-B437-217392654555}">
  <sheetPr>
    <tabColor rgb="FFFFFF00"/>
  </sheetPr>
  <dimension ref="A1:Z33"/>
  <sheetViews>
    <sheetView topLeftCell="J1" zoomScale="90" zoomScaleNormal="90" zoomScaleSheetLayoutView="90" zoomScalePageLayoutView="60" workbookViewId="0">
      <selection activeCell="O19" sqref="O19"/>
    </sheetView>
  </sheetViews>
  <sheetFormatPr defaultColWidth="9.109375" defaultRowHeight="13.8" outlineLevelCol="1" x14ac:dyDescent="0.3"/>
  <cols>
    <col min="1" max="1" width="16.109375" style="7" customWidth="1"/>
    <col min="2" max="2" width="21.44140625" style="7" customWidth="1"/>
    <col min="3" max="3" width="19.6640625" style="7" customWidth="1" outlineLevel="1"/>
    <col min="4" max="4" width="9.88671875" style="7" customWidth="1" outlineLevel="1"/>
    <col min="5" max="5" width="10.33203125" style="7" customWidth="1" outlineLevel="1"/>
    <col min="6" max="6" width="10.44140625" style="7" customWidth="1" outlineLevel="1"/>
    <col min="7" max="7" width="11.5546875" style="7" customWidth="1" outlineLevel="1"/>
    <col min="8" max="8" width="9.6640625" style="7" customWidth="1" outlineLevel="1"/>
    <col min="9" max="9" width="13.6640625" style="7" customWidth="1" outlineLevel="1"/>
    <col min="10" max="10" width="11.77734375" style="7" customWidth="1" outlineLevel="1"/>
    <col min="11" max="11" width="9.6640625" style="7" customWidth="1" outlineLevel="1"/>
    <col min="12" max="12" width="10.88671875" style="7" customWidth="1" outlineLevel="1"/>
    <col min="13" max="13" width="14" style="7" customWidth="1" outlineLevel="1"/>
    <col min="14" max="14" width="10.88671875" style="7" customWidth="1" outlineLevel="1"/>
    <col min="15" max="15" width="11.44140625" style="7" bestFit="1" customWidth="1"/>
    <col min="16" max="16" width="14.6640625" style="7" bestFit="1" customWidth="1"/>
    <col min="17" max="17" width="17.6640625" style="7" customWidth="1"/>
    <col min="18" max="18" width="12.33203125" style="7" customWidth="1"/>
    <col min="19" max="19" width="14.44140625" style="7" bestFit="1" customWidth="1"/>
    <col min="20" max="20" width="14.44140625" style="7" customWidth="1"/>
    <col min="21" max="21" width="16.6640625" style="7" bestFit="1" customWidth="1"/>
    <col min="22" max="22" width="18.5546875" style="7" bestFit="1" customWidth="1" collapsed="1"/>
    <col min="23" max="23" width="11.77734375" style="7" bestFit="1" customWidth="1"/>
    <col min="24" max="24" width="13.21875" style="7" customWidth="1"/>
    <col min="25" max="25" width="15.88671875" style="7" bestFit="1" customWidth="1" collapsed="1"/>
    <col min="26" max="26" width="20.77734375" style="7" bestFit="1" customWidth="1"/>
    <col min="27" max="16384" width="9.109375" style="7"/>
  </cols>
  <sheetData>
    <row r="1" spans="1:26" s="13" customFormat="1" ht="69" x14ac:dyDescent="0.3">
      <c r="A1" s="301" t="s">
        <v>97</v>
      </c>
      <c r="B1" s="301" t="s">
        <v>98</v>
      </c>
      <c r="C1" s="301" t="s">
        <v>99</v>
      </c>
      <c r="D1" s="301" t="s">
        <v>100</v>
      </c>
      <c r="E1" s="301" t="s">
        <v>101</v>
      </c>
      <c r="F1" s="301" t="s">
        <v>102</v>
      </c>
      <c r="G1" s="301" t="s">
        <v>103</v>
      </c>
      <c r="H1" s="301" t="s">
        <v>104</v>
      </c>
      <c r="I1" s="301" t="s">
        <v>105</v>
      </c>
      <c r="J1" s="301" t="s">
        <v>106</v>
      </c>
      <c r="K1" s="12" t="s">
        <v>107</v>
      </c>
      <c r="L1" s="12" t="s">
        <v>108</v>
      </c>
      <c r="M1" s="12" t="s">
        <v>109</v>
      </c>
      <c r="N1" s="12" t="s">
        <v>110</v>
      </c>
      <c r="O1" s="12" t="s">
        <v>111</v>
      </c>
      <c r="P1" s="12" t="s">
        <v>112</v>
      </c>
      <c r="Q1" s="12" t="s">
        <v>113</v>
      </c>
      <c r="R1" s="12" t="s">
        <v>595</v>
      </c>
      <c r="S1" s="12" t="s">
        <v>114</v>
      </c>
      <c r="T1" s="12" t="s">
        <v>115</v>
      </c>
      <c r="U1" s="12" t="s">
        <v>229</v>
      </c>
      <c r="V1" s="12" t="s">
        <v>230</v>
      </c>
      <c r="W1" s="12" t="s">
        <v>609</v>
      </c>
      <c r="X1" s="12" t="s">
        <v>116</v>
      </c>
      <c r="Y1" s="12" t="s">
        <v>603</v>
      </c>
    </row>
    <row r="2" spans="1:26" x14ac:dyDescent="0.3">
      <c r="A2" s="256" t="s">
        <v>599</v>
      </c>
      <c r="B2" s="256" t="s">
        <v>117</v>
      </c>
      <c r="C2" s="256" t="s">
        <v>608</v>
      </c>
      <c r="D2" s="15">
        <v>0.375</v>
      </c>
      <c r="E2" s="15">
        <v>0.72916666666666663</v>
      </c>
      <c r="F2" s="256">
        <f>(E2-D2)*1440/(60)</f>
        <v>8.4999999999999982</v>
      </c>
      <c r="G2" s="256">
        <v>1</v>
      </c>
      <c r="H2" s="256">
        <f t="shared" ref="H2:H5" si="0">F2-G2</f>
        <v>7.4999999999999982</v>
      </c>
      <c r="I2" s="256">
        <f>H2*5</f>
        <v>37.499999999999993</v>
      </c>
      <c r="J2" s="33">
        <f>I2*52/12</f>
        <v>162.49999999999997</v>
      </c>
      <c r="K2" s="17">
        <f>ROUND(R2/52/I2,4)</f>
        <v>20.2227</v>
      </c>
      <c r="L2" s="16">
        <f t="shared" ref="L2:L5" si="1">K2*1.5</f>
        <v>30.334049999999998</v>
      </c>
      <c r="M2" s="16">
        <f t="shared" ref="M2:M5" si="2">K2*2</f>
        <v>40.445399999999999</v>
      </c>
      <c r="N2" s="18">
        <f>R2/52</f>
        <v>758.35038461538466</v>
      </c>
      <c r="O2" s="19">
        <f>ROUND(R2/12,2)</f>
        <v>3286.19</v>
      </c>
      <c r="P2" s="20">
        <f t="shared" ref="P2:Q5" si="3">S2/12</f>
        <v>98.585549999999998</v>
      </c>
      <c r="Q2" s="20">
        <f t="shared" si="3"/>
        <v>164.30925000000002</v>
      </c>
      <c r="R2" s="21">
        <f>37485*105.2%</f>
        <v>39434.22</v>
      </c>
      <c r="S2" s="21">
        <f>$R2*3%</f>
        <v>1183.0265999999999</v>
      </c>
      <c r="T2" s="21">
        <f>$R2*5%</f>
        <v>1971.7110000000002</v>
      </c>
      <c r="U2" s="21">
        <f>Y2*(H2*K2)*0.6</f>
        <v>1820.0429999999992</v>
      </c>
      <c r="V2" s="21">
        <f>(R2-$W413)*13.25%</f>
        <v>5225.0341500000004</v>
      </c>
      <c r="W2" s="21">
        <v>0</v>
      </c>
      <c r="X2" s="22">
        <f>R2+S2+U2+V2+W2</f>
        <v>47662.323749999996</v>
      </c>
      <c r="Y2" s="256">
        <v>20</v>
      </c>
    </row>
    <row r="3" spans="1:26" x14ac:dyDescent="0.3">
      <c r="A3" s="256" t="s">
        <v>597</v>
      </c>
      <c r="B3" s="23" t="s">
        <v>118</v>
      </c>
      <c r="C3" s="256" t="s">
        <v>606</v>
      </c>
      <c r="D3" s="15">
        <v>0.375</v>
      </c>
      <c r="E3" s="15">
        <v>0.70833333333333337</v>
      </c>
      <c r="F3" s="256">
        <f>(E3-D3)*1440/(60)</f>
        <v>8.0000000000000018</v>
      </c>
      <c r="G3" s="256">
        <v>1</v>
      </c>
      <c r="H3" s="256">
        <f>F3-G3</f>
        <v>7.0000000000000018</v>
      </c>
      <c r="I3" s="256">
        <f>H3*2</f>
        <v>14.000000000000004</v>
      </c>
      <c r="J3" s="33">
        <f>I3*52/12</f>
        <v>60.666666666666686</v>
      </c>
      <c r="K3" s="17">
        <f>ROUND(R3/52/I3,4)</f>
        <v>16.483499999999999</v>
      </c>
      <c r="L3" s="16">
        <f>K3*1.5</f>
        <v>24.725249999999999</v>
      </c>
      <c r="M3" s="16">
        <f>K3*2</f>
        <v>32.966999999999999</v>
      </c>
      <c r="N3" s="18">
        <f>R3/52</f>
        <v>230.76923076923077</v>
      </c>
      <c r="O3" s="19">
        <f>ROUND(R3/12,2)</f>
        <v>1000</v>
      </c>
      <c r="P3" s="20">
        <f t="shared" si="3"/>
        <v>30</v>
      </c>
      <c r="Q3" s="20">
        <f t="shared" si="3"/>
        <v>50</v>
      </c>
      <c r="R3" s="21">
        <f>30000/5*2</f>
        <v>12000</v>
      </c>
      <c r="S3" s="21">
        <f>$R3*3%</f>
        <v>360</v>
      </c>
      <c r="T3" s="21">
        <f>$R3*5%</f>
        <v>600</v>
      </c>
      <c r="U3" s="21">
        <f>Y3*(H3*K3)*0.6</f>
        <v>553.8456000000001</v>
      </c>
      <c r="V3" s="21">
        <f>(R3-$W415)*13.25%</f>
        <v>1590</v>
      </c>
      <c r="W3" s="21">
        <v>0</v>
      </c>
      <c r="X3" s="22">
        <f>R3+S3+U3+V3+W3</f>
        <v>14503.845600000001</v>
      </c>
      <c r="Y3" s="256">
        <v>8</v>
      </c>
    </row>
    <row r="4" spans="1:26" x14ac:dyDescent="0.3">
      <c r="A4" s="256" t="s">
        <v>598</v>
      </c>
      <c r="B4" s="23" t="s">
        <v>244</v>
      </c>
      <c r="C4" s="256" t="s">
        <v>607</v>
      </c>
      <c r="D4" s="15">
        <v>0.39583333333333331</v>
      </c>
      <c r="E4" s="15">
        <v>0.72916666666666663</v>
      </c>
      <c r="F4" s="256">
        <f>(E4-D4)*1440/(60)</f>
        <v>8</v>
      </c>
      <c r="G4" s="256">
        <v>1</v>
      </c>
      <c r="H4" s="256">
        <f t="shared" si="0"/>
        <v>7</v>
      </c>
      <c r="I4" s="256">
        <f>H4*3</f>
        <v>21</v>
      </c>
      <c r="J4" s="33">
        <f>I4*52/12</f>
        <v>91</v>
      </c>
      <c r="K4" s="17">
        <f>ROUND(R4/52/I4,4)</f>
        <v>13.1868</v>
      </c>
      <c r="L4" s="16">
        <f t="shared" si="1"/>
        <v>19.780200000000001</v>
      </c>
      <c r="M4" s="16">
        <f t="shared" si="2"/>
        <v>26.3736</v>
      </c>
      <c r="N4" s="18">
        <f>R4/52</f>
        <v>276.92307692307691</v>
      </c>
      <c r="O4" s="19">
        <f>ROUND(R4/12,2)</f>
        <v>1200</v>
      </c>
      <c r="P4" s="20">
        <f t="shared" si="3"/>
        <v>36</v>
      </c>
      <c r="Q4" s="20">
        <f t="shared" si="3"/>
        <v>60</v>
      </c>
      <c r="R4" s="21">
        <f>24000/5*3</f>
        <v>14400</v>
      </c>
      <c r="S4" s="21">
        <f>$R4*3%</f>
        <v>432</v>
      </c>
      <c r="T4" s="21">
        <f t="shared" ref="T4:T5" si="4">$R4*5%</f>
        <v>720</v>
      </c>
      <c r="U4" s="21">
        <f>Y4*(H4*K4)*0.6</f>
        <v>664.61471999999992</v>
      </c>
      <c r="V4" s="21">
        <f>(R4-$W414)*13.25%</f>
        <v>1908</v>
      </c>
      <c r="W4" s="21">
        <v>0</v>
      </c>
      <c r="X4" s="22">
        <f>R4+S4+U4+V4+W4</f>
        <v>17404.614719999998</v>
      </c>
      <c r="Y4" s="256">
        <v>12</v>
      </c>
    </row>
    <row r="5" spans="1:26" x14ac:dyDescent="0.3">
      <c r="A5" s="256" t="s">
        <v>600</v>
      </c>
      <c r="B5" s="256" t="s">
        <v>596</v>
      </c>
      <c r="C5" s="256" t="s">
        <v>605</v>
      </c>
      <c r="D5" s="15">
        <v>0.375</v>
      </c>
      <c r="E5" s="15">
        <v>0.70833333333333337</v>
      </c>
      <c r="F5" s="256">
        <f t="shared" ref="F5" si="5">(E5-D5)*1440/(60)</f>
        <v>8.0000000000000018</v>
      </c>
      <c r="G5" s="256">
        <v>1</v>
      </c>
      <c r="H5" s="256">
        <f t="shared" si="0"/>
        <v>7.0000000000000018</v>
      </c>
      <c r="I5" s="256">
        <f>H5*3</f>
        <v>21.000000000000007</v>
      </c>
      <c r="J5" s="33">
        <f t="shared" ref="J5" si="6">I5*52/12</f>
        <v>91.000000000000043</v>
      </c>
      <c r="K5" s="17">
        <f>ROUND(R5/52/I5,4)</f>
        <v>10</v>
      </c>
      <c r="L5" s="16">
        <f t="shared" si="1"/>
        <v>15</v>
      </c>
      <c r="M5" s="16">
        <f t="shared" si="2"/>
        <v>20</v>
      </c>
      <c r="N5" s="18">
        <f>R5/52</f>
        <v>210</v>
      </c>
      <c r="O5" s="19">
        <f>ROUND(R5/12,2)</f>
        <v>910</v>
      </c>
      <c r="P5" s="20">
        <f t="shared" si="3"/>
        <v>0</v>
      </c>
      <c r="Q5" s="20">
        <f t="shared" si="3"/>
        <v>45.5</v>
      </c>
      <c r="R5" s="21">
        <f>91*10*12</f>
        <v>10920</v>
      </c>
      <c r="S5" s="21">
        <f>$R5*0%</f>
        <v>0</v>
      </c>
      <c r="T5" s="21">
        <f t="shared" si="4"/>
        <v>546</v>
      </c>
      <c r="U5" s="21">
        <f>Y5*(H5*K5)*0.6</f>
        <v>504.00000000000011</v>
      </c>
      <c r="V5" s="21">
        <f>(R5-$W418)*13.25%</f>
        <v>1446.9</v>
      </c>
      <c r="W5" s="21">
        <v>0</v>
      </c>
      <c r="X5" s="22">
        <f>R5+S5+U5+V5+W5</f>
        <v>12870.9</v>
      </c>
      <c r="Y5" s="256">
        <v>12</v>
      </c>
    </row>
    <row r="7" spans="1:26" x14ac:dyDescent="0.3">
      <c r="A7" s="24"/>
      <c r="B7" s="24"/>
      <c r="F7" s="25"/>
      <c r="G7" s="25"/>
      <c r="H7" s="25"/>
      <c r="K7" s="26"/>
      <c r="L7" s="14"/>
      <c r="M7" s="14"/>
      <c r="N7" s="27"/>
      <c r="O7" s="26"/>
      <c r="P7" s="26"/>
      <c r="Q7" s="26"/>
      <c r="R7" s="21">
        <f t="shared" ref="R7:X7" si="7">SUM(R2:R5)</f>
        <v>76754.22</v>
      </c>
      <c r="S7" s="21">
        <f t="shared" si="7"/>
        <v>1975.0265999999999</v>
      </c>
      <c r="T7" s="21">
        <f t="shared" si="7"/>
        <v>3837.7110000000002</v>
      </c>
      <c r="U7" s="21">
        <f t="shared" si="7"/>
        <v>3542.5033199999993</v>
      </c>
      <c r="V7" s="21">
        <f t="shared" si="7"/>
        <v>10169.934149999999</v>
      </c>
      <c r="W7" s="21">
        <f t="shared" si="7"/>
        <v>0</v>
      </c>
      <c r="X7" s="22">
        <f t="shared" si="7"/>
        <v>92441.684069999988</v>
      </c>
      <c r="Y7" s="26"/>
    </row>
    <row r="8" spans="1:26" ht="14.4" thickBot="1" x14ac:dyDescent="0.35">
      <c r="H8" s="28"/>
    </row>
    <row r="9" spans="1:26" x14ac:dyDescent="0.3">
      <c r="A9" s="7" t="s">
        <v>120</v>
      </c>
      <c r="L9" s="7" t="s">
        <v>257</v>
      </c>
      <c r="R9" s="324" t="s">
        <v>30</v>
      </c>
      <c r="S9" s="325"/>
      <c r="T9" s="325"/>
      <c r="U9" s="299" t="s">
        <v>1</v>
      </c>
      <c r="V9" s="299">
        <v>2023</v>
      </c>
      <c r="W9" s="299">
        <v>2022</v>
      </c>
      <c r="X9" s="300" t="s">
        <v>302</v>
      </c>
    </row>
    <row r="10" spans="1:26" x14ac:dyDescent="0.3">
      <c r="A10" s="30" t="s">
        <v>601</v>
      </c>
      <c r="L10" s="304" t="s">
        <v>119</v>
      </c>
      <c r="M10" s="304" t="s">
        <v>232</v>
      </c>
      <c r="N10" s="304" t="s">
        <v>233</v>
      </c>
      <c r="O10" s="304" t="s">
        <v>234</v>
      </c>
      <c r="P10" s="304" t="s">
        <v>235</v>
      </c>
      <c r="R10" s="320" t="s">
        <v>31</v>
      </c>
      <c r="S10" s="321"/>
      <c r="T10" s="321"/>
      <c r="U10" s="256">
        <v>5001</v>
      </c>
      <c r="V10" s="32">
        <f>SUM(R2:R4)</f>
        <v>65834.22</v>
      </c>
      <c r="W10" s="33">
        <v>56685</v>
      </c>
      <c r="X10" s="34">
        <f>V10-W10</f>
        <v>9149.2200000000012</v>
      </c>
    </row>
    <row r="11" spans="1:26" x14ac:dyDescent="0.3">
      <c r="A11" s="30" t="s">
        <v>121</v>
      </c>
      <c r="L11" s="256" t="s">
        <v>237</v>
      </c>
      <c r="M11" s="35">
        <v>35</v>
      </c>
      <c r="N11" s="256">
        <f>M11*52</f>
        <v>1820</v>
      </c>
      <c r="O11" s="296">
        <v>10</v>
      </c>
      <c r="P11" s="296">
        <f>N11*O11</f>
        <v>18200</v>
      </c>
      <c r="R11" s="320" t="s">
        <v>583</v>
      </c>
      <c r="S11" s="321"/>
      <c r="T11" s="321"/>
      <c r="U11" s="256">
        <v>50011</v>
      </c>
      <c r="V11" s="32">
        <f>SUM(R5:R5)</f>
        <v>10920</v>
      </c>
      <c r="W11" s="33">
        <v>10920</v>
      </c>
      <c r="X11" s="34">
        <f t="shared" ref="X11:X17" si="8">V11-W11</f>
        <v>0</v>
      </c>
    </row>
    <row r="12" spans="1:26" x14ac:dyDescent="0.3">
      <c r="A12" s="30" t="s">
        <v>227</v>
      </c>
      <c r="L12" s="256" t="s">
        <v>231</v>
      </c>
      <c r="M12" s="35">
        <v>35</v>
      </c>
      <c r="N12" s="256">
        <f>M12*52</f>
        <v>1820</v>
      </c>
      <c r="O12" s="296">
        <v>10</v>
      </c>
      <c r="P12" s="296">
        <f t="shared" ref="P12" si="9">N12*O12</f>
        <v>18200</v>
      </c>
      <c r="R12" s="320" t="s">
        <v>32</v>
      </c>
      <c r="S12" s="321"/>
      <c r="T12" s="321"/>
      <c r="U12" s="256">
        <v>5002</v>
      </c>
      <c r="V12" s="32">
        <f>SUM(V2:V4)</f>
        <v>8723.0341499999995</v>
      </c>
      <c r="W12" s="33">
        <v>8816.130000000001</v>
      </c>
      <c r="X12" s="34">
        <f t="shared" si="8"/>
        <v>-93.095850000001519</v>
      </c>
    </row>
    <row r="13" spans="1:26" x14ac:dyDescent="0.3">
      <c r="A13" s="30"/>
      <c r="L13" s="298" t="s">
        <v>583</v>
      </c>
      <c r="M13" s="35"/>
      <c r="N13" s="298"/>
      <c r="O13" s="296"/>
      <c r="P13" s="296">
        <f>V17</f>
        <v>504.00000000000011</v>
      </c>
      <c r="R13" s="320" t="s">
        <v>584</v>
      </c>
      <c r="S13" s="321"/>
      <c r="T13" s="321"/>
      <c r="U13" s="256">
        <v>50021</v>
      </c>
      <c r="V13" s="32">
        <f>SUM(V5:V5)</f>
        <v>1446.9</v>
      </c>
      <c r="W13" s="33">
        <v>1506.96</v>
      </c>
      <c r="X13" s="34">
        <f t="shared" si="8"/>
        <v>-60.059999999999945</v>
      </c>
      <c r="Z13" s="29"/>
    </row>
    <row r="14" spans="1:26" s="13" customFormat="1" x14ac:dyDescent="0.3">
      <c r="A14" s="295"/>
      <c r="L14" s="298" t="s">
        <v>602</v>
      </c>
      <c r="M14" s="35"/>
      <c r="N14" s="298"/>
      <c r="O14" s="296"/>
      <c r="P14" s="296">
        <f>SUM(P11:P13)*5.2%</f>
        <v>1919.0080000000003</v>
      </c>
      <c r="R14" s="320" t="s">
        <v>585</v>
      </c>
      <c r="S14" s="321"/>
      <c r="T14" s="321"/>
      <c r="U14" s="256">
        <v>5003</v>
      </c>
      <c r="V14" s="32">
        <f>SUM(S5:S5)</f>
        <v>0</v>
      </c>
      <c r="W14" s="33">
        <v>0</v>
      </c>
      <c r="X14" s="34">
        <f t="shared" si="8"/>
        <v>0</v>
      </c>
      <c r="Y14" s="7"/>
    </row>
    <row r="15" spans="1:26" x14ac:dyDescent="0.3">
      <c r="A15" s="30"/>
      <c r="L15" s="302" t="s">
        <v>604</v>
      </c>
      <c r="M15" s="302"/>
      <c r="N15" s="302"/>
      <c r="O15" s="303"/>
      <c r="P15" s="303">
        <f>SUM(P11:P14)</f>
        <v>38823.008000000002</v>
      </c>
      <c r="R15" s="320" t="s">
        <v>33</v>
      </c>
      <c r="S15" s="321"/>
      <c r="T15" s="321"/>
      <c r="U15" s="256">
        <v>5020</v>
      </c>
      <c r="V15" s="32">
        <f>SUM(S2:S4)</f>
        <v>1975.0265999999999</v>
      </c>
      <c r="W15" s="33">
        <v>1653.18</v>
      </c>
      <c r="X15" s="34">
        <f t="shared" si="8"/>
        <v>321.84659999999985</v>
      </c>
    </row>
    <row r="16" spans="1:26" x14ac:dyDescent="0.3">
      <c r="A16" s="30"/>
      <c r="R16" s="320" t="s">
        <v>586</v>
      </c>
      <c r="S16" s="321"/>
      <c r="T16" s="321"/>
      <c r="U16" s="256">
        <v>5042</v>
      </c>
      <c r="V16" s="32">
        <f>SUM(U2:U4)</f>
        <v>3038.5033199999993</v>
      </c>
      <c r="W16" s="33">
        <v>1500</v>
      </c>
      <c r="X16" s="34">
        <f t="shared" si="8"/>
        <v>1538.5033199999993</v>
      </c>
    </row>
    <row r="17" spans="18:26" x14ac:dyDescent="0.3">
      <c r="R17" s="320" t="s">
        <v>587</v>
      </c>
      <c r="S17" s="321"/>
      <c r="T17" s="321"/>
      <c r="U17" s="256">
        <v>5043</v>
      </c>
      <c r="V17" s="32">
        <f>SUM(U5:U5)</f>
        <v>504.00000000000011</v>
      </c>
      <c r="W17" s="33">
        <v>0</v>
      </c>
      <c r="X17" s="34">
        <f t="shared" si="8"/>
        <v>504.00000000000011</v>
      </c>
    </row>
    <row r="18" spans="18:26" ht="14.4" thickBot="1" x14ac:dyDescent="0.35">
      <c r="R18" s="322"/>
      <c r="S18" s="323"/>
      <c r="T18" s="323"/>
      <c r="U18" s="305"/>
      <c r="V18" s="306">
        <f>SUM(V10:V17)</f>
        <v>92441.684069999988</v>
      </c>
      <c r="W18" s="306">
        <f>SUM(W10:W17)</f>
        <v>81081.27</v>
      </c>
      <c r="X18" s="306">
        <f>SUM(X10:X17)</f>
        <v>11360.414069999999</v>
      </c>
    </row>
    <row r="19" spans="18:26" x14ac:dyDescent="0.3">
      <c r="V19" s="31">
        <f>R7+S7+U7+V7</f>
        <v>92441.684070000003</v>
      </c>
    </row>
    <row r="20" spans="18:26" x14ac:dyDescent="0.3">
      <c r="V20" s="31">
        <f>V18-V19</f>
        <v>0</v>
      </c>
    </row>
    <row r="23" spans="18:26" s="30" customFormat="1" x14ac:dyDescent="0.3"/>
    <row r="31" spans="18:26" x14ac:dyDescent="0.3">
      <c r="Z31" s="73"/>
    </row>
    <row r="32" spans="18:26" x14ac:dyDescent="0.3">
      <c r="Z32" s="73"/>
    </row>
    <row r="33" spans="26:26" x14ac:dyDescent="0.3">
      <c r="Z33" s="73"/>
    </row>
  </sheetData>
  <autoFilter ref="A1:V7" xr:uid="{00000000-0009-0000-0000-000000000000}"/>
  <mergeCells count="10">
    <mergeCell ref="R15:T15"/>
    <mergeCell ref="R16:T16"/>
    <mergeCell ref="R17:T17"/>
    <mergeCell ref="R18:T18"/>
    <mergeCell ref="R9:T9"/>
    <mergeCell ref="R10:T10"/>
    <mergeCell ref="R11:T11"/>
    <mergeCell ref="R12:T12"/>
    <mergeCell ref="R13:T13"/>
    <mergeCell ref="R14:T14"/>
  </mergeCells>
  <printOptions horizontalCentered="1" gridLines="1"/>
  <pageMargins left="0.31496062992125984" right="0.31496062992125984" top="0.94488188976377963" bottom="0.15748031496062992" header="0.31496062992125984" footer="0.11811023622047245"/>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F2DA-3452-4048-B2F6-7638ADA0739A}">
  <dimension ref="A1:F13"/>
  <sheetViews>
    <sheetView workbookViewId="0">
      <selection sqref="A1:XFD1048576"/>
    </sheetView>
  </sheetViews>
  <sheetFormatPr defaultRowHeight="14.4" x14ac:dyDescent="0.3"/>
  <cols>
    <col min="1" max="1" width="27.109375" style="8" bestFit="1" customWidth="1"/>
    <col min="2" max="2" width="13.77734375" style="10" bestFit="1" customWidth="1"/>
    <col min="3" max="16384" width="8.88671875" style="8"/>
  </cols>
  <sheetData>
    <row r="1" spans="1:6" x14ac:dyDescent="0.3">
      <c r="A1" s="8" t="s">
        <v>271</v>
      </c>
      <c r="B1" s="9" t="s">
        <v>270</v>
      </c>
    </row>
    <row r="2" spans="1:6" x14ac:dyDescent="0.3">
      <c r="A2" s="8" t="s">
        <v>264</v>
      </c>
      <c r="B2" s="10" t="s">
        <v>261</v>
      </c>
    </row>
    <row r="3" spans="1:6" x14ac:dyDescent="0.3">
      <c r="A3" s="8" t="s">
        <v>265</v>
      </c>
      <c r="B3" s="10">
        <v>13.041666666666666</v>
      </c>
    </row>
    <row r="4" spans="1:6" x14ac:dyDescent="0.3">
      <c r="A4" s="8" t="s">
        <v>266</v>
      </c>
      <c r="B4" s="10">
        <v>10.450000000000001</v>
      </c>
      <c r="F4" s="37"/>
    </row>
    <row r="5" spans="1:6" x14ac:dyDescent="0.3">
      <c r="A5" s="8" t="s">
        <v>267</v>
      </c>
      <c r="B5" s="10">
        <v>8.8131249999999994</v>
      </c>
    </row>
    <row r="6" spans="1:6" x14ac:dyDescent="0.3">
      <c r="B6" s="10">
        <f>SUM(B3:B5)</f>
        <v>32.304791666666667</v>
      </c>
    </row>
    <row r="9" spans="1:6" x14ac:dyDescent="0.3">
      <c r="A9" s="8" t="s">
        <v>268</v>
      </c>
    </row>
    <row r="10" spans="1:6" x14ac:dyDescent="0.3">
      <c r="A10" s="8" t="s">
        <v>269</v>
      </c>
      <c r="B10" s="10">
        <v>9.2183333333333337</v>
      </c>
    </row>
    <row r="11" spans="1:6" x14ac:dyDescent="0.3">
      <c r="A11" s="199"/>
      <c r="C11" s="6"/>
    </row>
    <row r="12" spans="1:6" x14ac:dyDescent="0.3">
      <c r="A12" s="199" t="s">
        <v>262</v>
      </c>
      <c r="B12" s="10">
        <v>41.523125</v>
      </c>
    </row>
    <row r="13" spans="1:6" ht="15" thickBot="1" x14ac:dyDescent="0.35">
      <c r="A13" s="8" t="s">
        <v>263</v>
      </c>
      <c r="B13" s="11">
        <v>498.27750000000003</v>
      </c>
    </row>
  </sheetData>
  <printOptions horizontalCentered="1" gridLines="1"/>
  <pageMargins left="0.31496062992125984" right="0.31496062992125984" top="0.94488188976377963" bottom="0.15748031496062992" header="0.31496062992125984" footer="0.11811023622047245"/>
  <pageSetup paperSize="9" scale="9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E7F5-E682-4090-B4B2-300BB515C9A9}">
  <dimension ref="A1:N69"/>
  <sheetViews>
    <sheetView topLeftCell="A16" workbookViewId="0">
      <selection activeCell="A16" sqref="A1:XFD1048576"/>
    </sheetView>
  </sheetViews>
  <sheetFormatPr defaultRowHeight="14.4" x14ac:dyDescent="0.3"/>
  <cols>
    <col min="1" max="1" width="32.33203125" customWidth="1"/>
    <col min="2" max="2" width="10.5546875" customWidth="1"/>
    <col min="3" max="3" width="11.5546875" customWidth="1"/>
    <col min="4" max="4" width="8.5546875" customWidth="1"/>
    <col min="5" max="5" width="12.33203125" customWidth="1"/>
    <col min="6" max="6" width="13.44140625" bestFit="1" customWidth="1"/>
    <col min="7" max="7" width="14.109375" customWidth="1"/>
    <col min="8" max="8" width="16" bestFit="1" customWidth="1"/>
    <col min="10" max="11" width="0" hidden="1" customWidth="1"/>
    <col min="13" max="13" width="42.88671875" bestFit="1" customWidth="1"/>
    <col min="14" max="14" width="11.33203125" style="76" bestFit="1" customWidth="1"/>
  </cols>
  <sheetData>
    <row r="1" spans="1:14" ht="15.6" x14ac:dyDescent="0.3">
      <c r="A1" s="326" t="s">
        <v>282</v>
      </c>
      <c r="B1" s="327"/>
      <c r="C1" s="327"/>
      <c r="D1" s="327"/>
      <c r="E1" s="327"/>
      <c r="F1" s="327"/>
      <c r="G1" s="327"/>
      <c r="H1" s="328"/>
    </row>
    <row r="2" spans="1:14" ht="16.2" thickBot="1" x14ac:dyDescent="0.35">
      <c r="A2" s="329" t="s">
        <v>283</v>
      </c>
      <c r="B2" s="330"/>
      <c r="C2" s="330"/>
      <c r="D2" s="330"/>
      <c r="E2" s="330"/>
      <c r="F2" s="330"/>
      <c r="G2" s="330"/>
      <c r="H2" s="331"/>
    </row>
    <row r="3" spans="1:14" ht="15.6" x14ac:dyDescent="0.3">
      <c r="A3" s="77"/>
      <c r="B3" s="78"/>
      <c r="C3" s="79"/>
      <c r="D3" s="80"/>
      <c r="E3" s="80"/>
      <c r="F3" s="80"/>
      <c r="G3" s="80"/>
      <c r="H3" s="81"/>
    </row>
    <row r="4" spans="1:14" x14ac:dyDescent="0.3">
      <c r="A4" s="82"/>
      <c r="B4" s="78"/>
      <c r="C4" s="80"/>
      <c r="D4" s="80"/>
      <c r="E4" s="83" t="s">
        <v>284</v>
      </c>
      <c r="F4" s="83" t="s">
        <v>285</v>
      </c>
      <c r="G4" s="80"/>
      <c r="H4" s="84"/>
    </row>
    <row r="5" spans="1:14" x14ac:dyDescent="0.3">
      <c r="A5" s="77"/>
      <c r="B5" s="78"/>
      <c r="C5" s="80"/>
      <c r="D5" s="80"/>
      <c r="E5" s="83"/>
      <c r="F5" s="83"/>
      <c r="G5" s="80"/>
      <c r="H5" s="85" t="s">
        <v>286</v>
      </c>
    </row>
    <row r="6" spans="1:14" x14ac:dyDescent="0.3">
      <c r="A6" s="82"/>
      <c r="B6" s="78"/>
      <c r="C6" s="80"/>
      <c r="D6" s="80"/>
      <c r="E6" s="80"/>
      <c r="F6" s="80"/>
      <c r="G6" s="80"/>
      <c r="H6" s="86" t="s">
        <v>287</v>
      </c>
    </row>
    <row r="7" spans="1:14" x14ac:dyDescent="0.3">
      <c r="A7" s="82"/>
      <c r="B7" s="78"/>
      <c r="C7" s="80" t="s">
        <v>288</v>
      </c>
      <c r="D7" s="80"/>
      <c r="E7" s="80">
        <v>41</v>
      </c>
      <c r="F7" s="80"/>
      <c r="G7" s="80"/>
      <c r="H7" s="84"/>
    </row>
    <row r="8" spans="1:14" x14ac:dyDescent="0.3">
      <c r="A8" s="82"/>
      <c r="B8" s="78"/>
      <c r="C8" s="80" t="s">
        <v>289</v>
      </c>
      <c r="D8" s="80"/>
      <c r="E8" s="80">
        <v>228</v>
      </c>
      <c r="F8" s="80"/>
      <c r="G8" s="80"/>
      <c r="H8" s="84"/>
    </row>
    <row r="9" spans="1:14" ht="15" thickBot="1" x14ac:dyDescent="0.35">
      <c r="A9" s="87"/>
      <c r="B9" s="88"/>
      <c r="C9" s="89"/>
      <c r="D9" s="89"/>
      <c r="E9" s="90">
        <v>269</v>
      </c>
      <c r="F9" s="90">
        <v>152</v>
      </c>
      <c r="G9" s="89"/>
      <c r="H9" s="91"/>
    </row>
    <row r="10" spans="1:14" ht="15" thickTop="1" x14ac:dyDescent="0.3">
      <c r="A10" s="77"/>
      <c r="B10" s="92"/>
      <c r="C10" s="80"/>
      <c r="D10" s="80"/>
      <c r="E10" s="80"/>
      <c r="F10" s="80"/>
      <c r="G10" s="80"/>
      <c r="H10" s="84"/>
    </row>
    <row r="11" spans="1:14" x14ac:dyDescent="0.3">
      <c r="A11" s="121" t="s">
        <v>290</v>
      </c>
      <c r="B11" s="78"/>
      <c r="C11" s="93"/>
      <c r="D11" s="94"/>
      <c r="E11" s="95"/>
      <c r="F11" s="96" t="s">
        <v>291</v>
      </c>
      <c r="G11" s="97"/>
      <c r="H11" s="98"/>
    </row>
    <row r="12" spans="1:14" ht="15.6" x14ac:dyDescent="0.3">
      <c r="A12" s="200" t="s">
        <v>292</v>
      </c>
      <c r="C12" s="100" t="s">
        <v>293</v>
      </c>
      <c r="D12" s="101"/>
      <c r="E12" s="102"/>
      <c r="F12" s="103">
        <v>93357.487473626985</v>
      </c>
      <c r="G12" s="104">
        <v>23339.371868406746</v>
      </c>
      <c r="H12" s="105"/>
      <c r="M12" t="s">
        <v>117</v>
      </c>
      <c r="N12" s="76">
        <v>45501.486900000004</v>
      </c>
    </row>
    <row r="13" spans="1:14" ht="15.6" x14ac:dyDescent="0.3">
      <c r="A13" s="99" t="s">
        <v>294</v>
      </c>
      <c r="B13" s="106"/>
      <c r="C13" s="100" t="s">
        <v>295</v>
      </c>
      <c r="D13" s="107"/>
      <c r="E13" s="102"/>
      <c r="F13" s="103">
        <v>148685.93341200118</v>
      </c>
      <c r="G13" s="104">
        <v>37171.483353000294</v>
      </c>
      <c r="H13" s="108"/>
      <c r="M13" t="s">
        <v>244</v>
      </c>
      <c r="N13" s="76">
        <v>17000.658095999999</v>
      </c>
    </row>
    <row r="14" spans="1:14" ht="15.6" x14ac:dyDescent="0.3">
      <c r="A14" s="99" t="s">
        <v>296</v>
      </c>
      <c r="B14" s="109"/>
      <c r="C14" s="100" t="s">
        <v>297</v>
      </c>
      <c r="D14" s="102"/>
      <c r="E14" s="102"/>
      <c r="F14" s="103">
        <v>10341.628879272273</v>
      </c>
      <c r="G14" s="104">
        <v>2585.4072198180684</v>
      </c>
      <c r="H14" s="108"/>
      <c r="M14" t="s">
        <v>118</v>
      </c>
      <c r="N14" s="76">
        <v>14441.150160000001</v>
      </c>
    </row>
    <row r="15" spans="1:14" ht="15.6" x14ac:dyDescent="0.3">
      <c r="A15" s="99" t="s">
        <v>298</v>
      </c>
      <c r="B15" s="109"/>
      <c r="C15" s="100" t="s">
        <v>299</v>
      </c>
      <c r="D15" s="102"/>
      <c r="E15" s="102"/>
      <c r="F15" s="103">
        <v>1875.2994582831263</v>
      </c>
      <c r="G15" s="104">
        <v>468.82486457078159</v>
      </c>
      <c r="H15" s="108"/>
      <c r="M15" t="s">
        <v>119</v>
      </c>
      <c r="N15" s="76">
        <v>19925.612856</v>
      </c>
    </row>
    <row r="16" spans="1:14" ht="15.6" x14ac:dyDescent="0.3">
      <c r="A16" s="99" t="s">
        <v>300</v>
      </c>
      <c r="B16" s="109"/>
      <c r="C16" s="100" t="s">
        <v>301</v>
      </c>
      <c r="D16" s="102"/>
      <c r="E16" s="102"/>
      <c r="F16" s="103">
        <v>1123.1411726075637</v>
      </c>
      <c r="G16" s="104">
        <v>280.78529315189093</v>
      </c>
      <c r="H16" s="108"/>
      <c r="N16" s="76">
        <v>96868.908012</v>
      </c>
    </row>
    <row r="17" spans="1:14" ht="15.6" x14ac:dyDescent="0.3">
      <c r="A17" s="110"/>
      <c r="B17" s="109"/>
      <c r="C17" s="100"/>
      <c r="D17" s="102"/>
      <c r="E17" s="102"/>
      <c r="F17" s="111"/>
      <c r="G17" s="104">
        <v>0</v>
      </c>
      <c r="H17" s="108"/>
      <c r="N17" s="76">
        <v>93357.487473626985</v>
      </c>
    </row>
    <row r="18" spans="1:14" ht="15.6" x14ac:dyDescent="0.3">
      <c r="A18" s="110"/>
      <c r="B18" s="109"/>
      <c r="C18" s="112"/>
      <c r="D18" s="113"/>
      <c r="E18" s="114"/>
      <c r="F18" s="115">
        <v>255383.4903957911</v>
      </c>
      <c r="G18" s="104">
        <v>63845.872598947775</v>
      </c>
      <c r="H18" s="116"/>
      <c r="J18">
        <v>264258</v>
      </c>
      <c r="K18" s="117">
        <v>-8874.509604208899</v>
      </c>
      <c r="M18" t="s">
        <v>293</v>
      </c>
      <c r="N18" s="76">
        <v>3511.420538373015</v>
      </c>
    </row>
    <row r="19" spans="1:14" x14ac:dyDescent="0.3">
      <c r="A19" s="77"/>
      <c r="B19" s="92"/>
      <c r="C19" s="80"/>
      <c r="D19" s="80"/>
      <c r="E19" s="80"/>
      <c r="F19" s="118"/>
      <c r="G19" s="119">
        <v>76615.047118737333</v>
      </c>
      <c r="H19" s="84"/>
      <c r="M19" s="120" t="s">
        <v>302</v>
      </c>
      <c r="N19" s="76">
        <v>89846.06693525397</v>
      </c>
    </row>
    <row r="20" spans="1:14" x14ac:dyDescent="0.3">
      <c r="A20" s="121" t="s">
        <v>303</v>
      </c>
      <c r="B20" s="92"/>
      <c r="C20" s="80"/>
      <c r="D20" s="80"/>
      <c r="E20" s="80"/>
      <c r="F20" s="122" t="s">
        <v>304</v>
      </c>
      <c r="G20" s="122" t="s">
        <v>305</v>
      </c>
      <c r="H20" s="123" t="s">
        <v>235</v>
      </c>
    </row>
    <row r="21" spans="1:14" x14ac:dyDescent="0.3">
      <c r="A21" s="124">
        <v>1.0159</v>
      </c>
      <c r="B21" s="92"/>
      <c r="C21" s="80"/>
      <c r="D21" s="80"/>
      <c r="E21" s="83"/>
      <c r="F21" s="122" t="s">
        <v>306</v>
      </c>
      <c r="G21" s="122"/>
      <c r="H21" s="123"/>
    </row>
    <row r="22" spans="1:14" x14ac:dyDescent="0.3">
      <c r="A22" s="82" t="s">
        <v>307</v>
      </c>
      <c r="B22" s="125" t="s">
        <v>308</v>
      </c>
      <c r="C22" s="80" t="s">
        <v>309</v>
      </c>
      <c r="D22" s="80"/>
      <c r="E22" s="126"/>
      <c r="F22" s="127">
        <v>36.303580669200009</v>
      </c>
      <c r="G22" s="80">
        <v>41</v>
      </c>
      <c r="H22" s="128">
        <v>1488.4468074372003</v>
      </c>
      <c r="I22" s="117">
        <v>1488.4468074372003</v>
      </c>
      <c r="M22" s="120" t="s">
        <v>310</v>
      </c>
      <c r="N22" s="129">
        <v>36400</v>
      </c>
    </row>
    <row r="23" spans="1:14" x14ac:dyDescent="0.3">
      <c r="A23" s="82"/>
      <c r="B23" s="125" t="s">
        <v>308</v>
      </c>
      <c r="C23" s="80" t="s">
        <v>311</v>
      </c>
      <c r="D23" s="80"/>
      <c r="E23" s="126"/>
      <c r="F23" s="127">
        <v>63.36568669629736</v>
      </c>
      <c r="G23" s="80">
        <v>228</v>
      </c>
      <c r="H23" s="128">
        <v>14447.376566755798</v>
      </c>
      <c r="M23" t="s">
        <v>320</v>
      </c>
      <c r="N23" s="130">
        <v>38120.557246385128</v>
      </c>
    </row>
    <row r="24" spans="1:14" x14ac:dyDescent="0.3">
      <c r="A24" s="82"/>
      <c r="B24" s="125" t="s">
        <v>308</v>
      </c>
      <c r="C24" s="80" t="s">
        <v>312</v>
      </c>
      <c r="D24" s="80"/>
      <c r="E24" s="126"/>
      <c r="F24" s="127">
        <v>74.426363869362916</v>
      </c>
      <c r="G24" s="80">
        <v>269</v>
      </c>
      <c r="H24" s="128">
        <v>20020.691880858623</v>
      </c>
      <c r="I24" s="117">
        <v>20020.691880858623</v>
      </c>
      <c r="M24" s="120" t="s">
        <v>302</v>
      </c>
      <c r="N24" s="76">
        <v>-1720.5572463851277</v>
      </c>
    </row>
    <row r="25" spans="1:14" x14ac:dyDescent="0.3">
      <c r="A25" s="82"/>
      <c r="B25" s="125" t="s">
        <v>308</v>
      </c>
      <c r="C25" s="80" t="s">
        <v>313</v>
      </c>
      <c r="D25" s="80"/>
      <c r="E25" s="126"/>
      <c r="F25" s="127">
        <v>53.759777304026549</v>
      </c>
      <c r="G25" s="80">
        <v>269</v>
      </c>
      <c r="H25" s="128">
        <v>14461.380094783142</v>
      </c>
    </row>
    <row r="26" spans="1:14" x14ac:dyDescent="0.3">
      <c r="A26" s="82"/>
      <c r="B26" s="125" t="s">
        <v>308</v>
      </c>
      <c r="C26" s="80" t="s">
        <v>314</v>
      </c>
      <c r="D26" s="80"/>
      <c r="E26" s="126"/>
      <c r="F26" s="127">
        <v>153.33918715430673</v>
      </c>
      <c r="G26" s="80">
        <v>269</v>
      </c>
      <c r="H26" s="128">
        <v>41248.241344508511</v>
      </c>
      <c r="N26" s="76">
        <v>110565.37616561605</v>
      </c>
    </row>
    <row r="27" spans="1:14" x14ac:dyDescent="0.3">
      <c r="A27" s="82"/>
      <c r="B27" s="125" t="s">
        <v>308</v>
      </c>
      <c r="C27" s="131" t="s">
        <v>315</v>
      </c>
      <c r="D27" s="131"/>
      <c r="E27" s="132"/>
      <c r="F27" s="127">
        <v>11.127307758445488</v>
      </c>
      <c r="G27" s="133">
        <v>152</v>
      </c>
      <c r="H27" s="128">
        <v>1691.3507792837142</v>
      </c>
    </row>
    <row r="28" spans="1:14" ht="15" thickBot="1" x14ac:dyDescent="0.35">
      <c r="A28" s="87"/>
      <c r="B28" s="88"/>
      <c r="C28" s="89"/>
      <c r="D28" s="89"/>
      <c r="E28" s="89"/>
      <c r="F28" s="134">
        <v>392.32190345163912</v>
      </c>
      <c r="G28" s="90"/>
      <c r="H28" s="135">
        <v>93357.487473626985</v>
      </c>
      <c r="I28" s="135">
        <v>21509.138688295825</v>
      </c>
    </row>
    <row r="29" spans="1:14" ht="15" thickTop="1" x14ac:dyDescent="0.3">
      <c r="A29" s="82"/>
      <c r="B29" s="78"/>
      <c r="C29" s="80"/>
      <c r="D29" s="80"/>
      <c r="E29" s="83"/>
      <c r="F29" s="83"/>
      <c r="G29" s="83"/>
      <c r="H29" s="128"/>
    </row>
    <row r="30" spans="1:14" x14ac:dyDescent="0.3">
      <c r="A30" s="121" t="s">
        <v>316</v>
      </c>
      <c r="B30" s="92"/>
      <c r="C30" s="80"/>
      <c r="D30" s="80"/>
      <c r="E30" s="136"/>
      <c r="F30" s="122" t="s">
        <v>306</v>
      </c>
      <c r="G30" s="122" t="s">
        <v>305</v>
      </c>
      <c r="H30" s="137" t="s">
        <v>235</v>
      </c>
    </row>
    <row r="31" spans="1:14" x14ac:dyDescent="0.3">
      <c r="A31" s="124">
        <v>1.0159</v>
      </c>
      <c r="B31" s="125" t="s">
        <v>317</v>
      </c>
      <c r="C31" s="80" t="s">
        <v>318</v>
      </c>
      <c r="D31" s="80"/>
      <c r="E31" s="138"/>
      <c r="F31" s="139">
        <v>16.552590817489939</v>
      </c>
      <c r="G31" s="80">
        <v>269</v>
      </c>
      <c r="H31" s="128">
        <v>4452.646929904794</v>
      </c>
    </row>
    <row r="32" spans="1:14" x14ac:dyDescent="0.3">
      <c r="A32" s="124"/>
      <c r="B32" s="125"/>
      <c r="C32" s="80" t="s">
        <v>319</v>
      </c>
      <c r="D32" s="80"/>
      <c r="E32" s="138"/>
      <c r="F32" s="139">
        <v>0</v>
      </c>
      <c r="G32" s="80">
        <v>269</v>
      </c>
      <c r="H32" s="128">
        <v>0</v>
      </c>
    </row>
    <row r="33" spans="1:13" x14ac:dyDescent="0.3">
      <c r="A33" s="82" t="s">
        <v>307</v>
      </c>
      <c r="B33" s="78"/>
      <c r="C33" s="80" t="s">
        <v>320</v>
      </c>
      <c r="D33" s="80"/>
      <c r="E33" s="138"/>
      <c r="F33" s="139">
        <v>141.71210872262128</v>
      </c>
      <c r="G33" s="80">
        <v>269</v>
      </c>
      <c r="H33" s="128">
        <v>38120.557246385128</v>
      </c>
    </row>
    <row r="34" spans="1:13" x14ac:dyDescent="0.3">
      <c r="A34" s="82"/>
      <c r="B34" s="78"/>
      <c r="C34" s="80" t="s">
        <v>321</v>
      </c>
      <c r="D34" s="80"/>
      <c r="E34" s="138"/>
      <c r="F34" s="139">
        <v>1.6730384734018016</v>
      </c>
      <c r="G34" s="80">
        <v>269</v>
      </c>
      <c r="H34" s="128">
        <v>450.04734934508463</v>
      </c>
    </row>
    <row r="35" spans="1:13" x14ac:dyDescent="0.3">
      <c r="A35" s="82"/>
      <c r="B35" s="125" t="s">
        <v>322</v>
      </c>
      <c r="C35" s="80" t="s">
        <v>323</v>
      </c>
      <c r="D35" s="80"/>
      <c r="E35" s="138"/>
      <c r="F35" s="139">
        <v>145.64833586860814</v>
      </c>
      <c r="G35" s="80">
        <v>269</v>
      </c>
      <c r="H35" s="128">
        <v>39179.402348655589</v>
      </c>
    </row>
    <row r="36" spans="1:13" x14ac:dyDescent="0.3">
      <c r="A36" s="82"/>
      <c r="B36" s="125" t="s">
        <v>324</v>
      </c>
      <c r="C36" s="80" t="s">
        <v>325</v>
      </c>
      <c r="D36" s="80"/>
      <c r="E36" s="138"/>
      <c r="F36" s="139">
        <v>9.1394952946114145</v>
      </c>
      <c r="G36" s="80">
        <v>269</v>
      </c>
      <c r="H36" s="128">
        <v>2458.5242342504707</v>
      </c>
    </row>
    <row r="37" spans="1:13" x14ac:dyDescent="0.3">
      <c r="A37" s="82"/>
      <c r="B37" s="125" t="s">
        <v>326</v>
      </c>
      <c r="C37" s="80" t="s">
        <v>327</v>
      </c>
      <c r="D37" s="80"/>
      <c r="E37" s="138"/>
      <c r="F37" s="139">
        <v>140.1378005847113</v>
      </c>
      <c r="G37" s="80">
        <v>269</v>
      </c>
      <c r="H37" s="128">
        <v>37697.068357287339</v>
      </c>
      <c r="I37" s="117">
        <v>18264.436778928044</v>
      </c>
      <c r="L37">
        <v>18085</v>
      </c>
      <c r="M37" s="117">
        <v>179.43677892804408</v>
      </c>
    </row>
    <row r="38" spans="1:13" x14ac:dyDescent="0.3">
      <c r="A38" s="82"/>
      <c r="B38" s="125" t="s">
        <v>328</v>
      </c>
      <c r="C38" s="80" t="s">
        <v>329</v>
      </c>
      <c r="D38" s="80"/>
      <c r="E38" s="138"/>
      <c r="F38" s="139">
        <v>253.06553577337905</v>
      </c>
      <c r="G38" s="80">
        <v>41</v>
      </c>
      <c r="H38" s="128">
        <v>10375.686966708541</v>
      </c>
    </row>
    <row r="39" spans="1:13" x14ac:dyDescent="0.3">
      <c r="A39" s="82"/>
      <c r="B39" s="125"/>
      <c r="C39" s="80" t="s">
        <v>330</v>
      </c>
      <c r="D39" s="80"/>
      <c r="E39" s="138"/>
      <c r="F39" s="139">
        <v>3944.374906109751</v>
      </c>
      <c r="G39" s="80">
        <v>2</v>
      </c>
      <c r="H39" s="128">
        <v>7888.749812219502</v>
      </c>
    </row>
    <row r="40" spans="1:13" x14ac:dyDescent="0.3">
      <c r="A40" s="82"/>
      <c r="B40" s="125" t="s">
        <v>331</v>
      </c>
      <c r="C40" s="80" t="s">
        <v>332</v>
      </c>
      <c r="D40" s="80"/>
      <c r="E40" s="138"/>
      <c r="F40" s="139">
        <v>0</v>
      </c>
      <c r="G40" s="80">
        <v>41</v>
      </c>
      <c r="H40" s="128">
        <v>0</v>
      </c>
    </row>
    <row r="41" spans="1:13" x14ac:dyDescent="0.3">
      <c r="A41" s="82"/>
      <c r="B41" s="125" t="s">
        <v>331</v>
      </c>
      <c r="C41" s="80" t="s">
        <v>333</v>
      </c>
      <c r="D41" s="80"/>
      <c r="E41" s="138"/>
      <c r="F41" s="139">
        <v>15.39328277959622</v>
      </c>
      <c r="G41" s="80">
        <v>269</v>
      </c>
      <c r="H41" s="128">
        <v>4140.7930677113827</v>
      </c>
    </row>
    <row r="42" spans="1:13" x14ac:dyDescent="0.3">
      <c r="A42" s="82"/>
      <c r="B42" s="125"/>
      <c r="C42" s="80" t="s">
        <v>334</v>
      </c>
      <c r="D42" s="80"/>
      <c r="E42" s="138"/>
      <c r="F42" s="139">
        <v>1.5849493855251051</v>
      </c>
      <c r="G42" s="80">
        <v>269</v>
      </c>
      <c r="H42" s="128">
        <v>426.35138470625327</v>
      </c>
    </row>
    <row r="43" spans="1:13" x14ac:dyDescent="0.3">
      <c r="A43" s="82"/>
      <c r="B43" s="125"/>
      <c r="C43" s="80" t="s">
        <v>335</v>
      </c>
      <c r="D43" s="80"/>
      <c r="E43" s="138"/>
      <c r="F43" s="139">
        <v>0</v>
      </c>
      <c r="G43" s="80">
        <v>269</v>
      </c>
      <c r="H43" s="128">
        <v>0</v>
      </c>
    </row>
    <row r="44" spans="1:13" x14ac:dyDescent="0.3">
      <c r="A44" s="82"/>
      <c r="B44" s="125" t="s">
        <v>336</v>
      </c>
      <c r="C44" s="80" t="s">
        <v>285</v>
      </c>
      <c r="D44" s="80"/>
      <c r="E44" s="138"/>
      <c r="F44" s="139">
        <v>23.000695492283501</v>
      </c>
      <c r="G44" s="80">
        <v>152</v>
      </c>
      <c r="H44" s="128">
        <v>3496.105714827092</v>
      </c>
    </row>
    <row r="45" spans="1:13" x14ac:dyDescent="0.3">
      <c r="A45" s="82"/>
      <c r="B45" s="78"/>
      <c r="C45" s="80" t="s">
        <v>337</v>
      </c>
      <c r="D45" s="80"/>
      <c r="E45" s="138"/>
      <c r="F45" s="139">
        <v>0</v>
      </c>
      <c r="G45" s="80">
        <v>269</v>
      </c>
      <c r="H45" s="128">
        <v>0</v>
      </c>
    </row>
    <row r="46" spans="1:13" ht="15" thickBot="1" x14ac:dyDescent="0.35">
      <c r="A46" s="87"/>
      <c r="B46" s="88"/>
      <c r="C46" s="89"/>
      <c r="D46" s="89"/>
      <c r="E46" s="140" t="s">
        <v>235</v>
      </c>
      <c r="F46" s="141">
        <v>4692.2827393019788</v>
      </c>
      <c r="G46" s="90"/>
      <c r="H46" s="135">
        <v>148685.93341200118</v>
      </c>
      <c r="I46" s="117">
        <v>130421.49663307314</v>
      </c>
    </row>
    <row r="47" spans="1:13" ht="15" thickTop="1" x14ac:dyDescent="0.3">
      <c r="A47" s="82"/>
      <c r="B47" s="78"/>
      <c r="C47" s="80"/>
      <c r="D47" s="80"/>
      <c r="E47" s="80"/>
      <c r="F47" s="80"/>
      <c r="G47" s="80"/>
      <c r="H47" s="128"/>
    </row>
    <row r="48" spans="1:13" x14ac:dyDescent="0.3">
      <c r="A48" s="121" t="s">
        <v>299</v>
      </c>
      <c r="B48" s="80"/>
      <c r="C48" s="80" t="s">
        <v>338</v>
      </c>
      <c r="D48" s="80"/>
      <c r="E48" s="142"/>
      <c r="F48" s="139">
        <v>6.6632175372036606</v>
      </c>
      <c r="G48" s="80">
        <v>269</v>
      </c>
      <c r="H48" s="143">
        <v>1792.4055175077847</v>
      </c>
    </row>
    <row r="49" spans="1:8" x14ac:dyDescent="0.3">
      <c r="A49" s="121"/>
      <c r="B49" s="80"/>
      <c r="C49" s="80" t="s">
        <v>339</v>
      </c>
      <c r="D49" s="80"/>
      <c r="E49" s="142"/>
      <c r="F49" s="139">
        <v>2.021803433544918</v>
      </c>
      <c r="G49" s="80">
        <v>41</v>
      </c>
      <c r="H49" s="143">
        <v>82.893940775341633</v>
      </c>
    </row>
    <row r="50" spans="1:8" ht="15" thickBot="1" x14ac:dyDescent="0.35">
      <c r="A50" s="144">
        <v>1.0159</v>
      </c>
      <c r="B50" s="88"/>
      <c r="C50" s="89"/>
      <c r="D50" s="89"/>
      <c r="E50" s="140"/>
      <c r="F50" s="145"/>
      <c r="G50" s="89"/>
      <c r="H50" s="146"/>
    </row>
    <row r="51" spans="1:8" ht="15" thickTop="1" x14ac:dyDescent="0.3">
      <c r="A51" s="82"/>
      <c r="B51" s="78"/>
      <c r="C51" s="80"/>
      <c r="D51" s="80"/>
      <c r="E51" s="142"/>
      <c r="F51" s="139"/>
      <c r="G51" s="80"/>
      <c r="H51" s="143"/>
    </row>
    <row r="52" spans="1:8" x14ac:dyDescent="0.3">
      <c r="A52" s="121" t="s">
        <v>297</v>
      </c>
      <c r="B52" s="78"/>
      <c r="C52" s="80"/>
      <c r="D52" s="80"/>
      <c r="E52" s="122" t="s">
        <v>340</v>
      </c>
      <c r="F52" s="147" t="s">
        <v>341</v>
      </c>
      <c r="G52" s="122" t="s">
        <v>342</v>
      </c>
      <c r="H52" s="137" t="s">
        <v>235</v>
      </c>
    </row>
    <row r="53" spans="1:8" x14ac:dyDescent="0.3">
      <c r="A53" s="124">
        <v>1.0159</v>
      </c>
      <c r="B53" s="78"/>
      <c r="C53" s="80"/>
      <c r="D53" s="80"/>
      <c r="E53" s="126">
        <v>6757.4013864883518</v>
      </c>
      <c r="F53" s="139">
        <v>13.324265772430932</v>
      </c>
      <c r="G53" s="80">
        <v>269</v>
      </c>
      <c r="H53" s="143">
        <v>10341.628879272273</v>
      </c>
    </row>
    <row r="54" spans="1:8" ht="15" thickBot="1" x14ac:dyDescent="0.35">
      <c r="A54" s="87"/>
      <c r="B54" s="148"/>
      <c r="C54" s="89"/>
      <c r="D54" s="89"/>
      <c r="E54" s="89"/>
      <c r="F54" s="145"/>
      <c r="G54" s="89"/>
      <c r="H54" s="146"/>
    </row>
    <row r="55" spans="1:8" ht="15" thickTop="1" x14ac:dyDescent="0.3">
      <c r="A55" s="121" t="s">
        <v>301</v>
      </c>
      <c r="B55" s="125" t="s">
        <v>343</v>
      </c>
      <c r="C55" s="80"/>
      <c r="D55" s="80"/>
      <c r="E55" s="80"/>
      <c r="F55" s="139">
        <v>4.1752459948236567</v>
      </c>
      <c r="G55" s="80">
        <v>269</v>
      </c>
      <c r="H55" s="143">
        <v>1123.1411726075637</v>
      </c>
    </row>
    <row r="56" spans="1:8" ht="15" thickBot="1" x14ac:dyDescent="0.35">
      <c r="A56" s="144">
        <v>1.0159</v>
      </c>
      <c r="B56" s="148"/>
      <c r="C56" s="89"/>
      <c r="D56" s="89"/>
      <c r="E56" s="89"/>
      <c r="F56" s="89"/>
      <c r="G56" s="89"/>
      <c r="H56" s="149"/>
    </row>
    <row r="57" spans="1:8" ht="15" thickTop="1" x14ac:dyDescent="0.3">
      <c r="A57" s="150"/>
      <c r="B57" s="151"/>
      <c r="C57" s="152"/>
      <c r="D57" s="152"/>
      <c r="E57" s="152"/>
      <c r="F57" s="152"/>
      <c r="G57" s="152"/>
      <c r="H57" s="153"/>
    </row>
    <row r="58" spans="1:8" x14ac:dyDescent="0.3">
      <c r="A58" s="154"/>
      <c r="B58" s="78"/>
      <c r="C58" s="80"/>
      <c r="D58" s="80"/>
      <c r="E58" s="80"/>
      <c r="F58" s="80"/>
      <c r="G58" s="80"/>
      <c r="H58" s="84"/>
    </row>
    <row r="59" spans="1:8" x14ac:dyDescent="0.3">
      <c r="A59" s="155"/>
      <c r="B59" s="78"/>
      <c r="C59" s="80"/>
      <c r="D59" s="80"/>
      <c r="E59" s="80"/>
      <c r="F59" s="156"/>
      <c r="G59" s="80"/>
      <c r="H59" s="84"/>
    </row>
    <row r="60" spans="1:8" x14ac:dyDescent="0.3">
      <c r="A60" s="157" t="s">
        <v>344</v>
      </c>
      <c r="B60" s="78"/>
      <c r="C60" s="80"/>
      <c r="D60" s="80"/>
      <c r="E60" s="80"/>
      <c r="F60" s="80"/>
      <c r="G60" s="80"/>
      <c r="H60" s="84"/>
    </row>
    <row r="61" spans="1:8" x14ac:dyDescent="0.3">
      <c r="A61" s="158" t="s">
        <v>345</v>
      </c>
      <c r="B61" s="78"/>
      <c r="C61" s="80"/>
      <c r="D61" s="80"/>
      <c r="E61" s="80"/>
      <c r="F61" s="80"/>
      <c r="G61" s="139"/>
      <c r="H61" s="84"/>
    </row>
    <row r="62" spans="1:8" x14ac:dyDescent="0.3">
      <c r="A62" s="158" t="s">
        <v>346</v>
      </c>
      <c r="B62" s="78"/>
      <c r="C62" s="80"/>
      <c r="D62" s="80"/>
      <c r="E62" s="80"/>
      <c r="F62" s="80"/>
      <c r="G62" s="139"/>
      <c r="H62" s="84"/>
    </row>
    <row r="63" spans="1:8" x14ac:dyDescent="0.3">
      <c r="A63" s="158" t="s">
        <v>347</v>
      </c>
      <c r="B63" s="78"/>
      <c r="C63" s="80"/>
      <c r="D63" s="80"/>
      <c r="E63" s="80"/>
      <c r="F63" s="80"/>
      <c r="G63" s="139"/>
      <c r="H63" s="84"/>
    </row>
    <row r="64" spans="1:8" x14ac:dyDescent="0.3">
      <c r="A64" s="158" t="s">
        <v>348</v>
      </c>
      <c r="B64" s="78"/>
      <c r="C64" s="80"/>
      <c r="D64" s="80"/>
      <c r="E64" s="80"/>
      <c r="F64" s="80"/>
      <c r="G64" s="139"/>
      <c r="H64" s="84"/>
    </row>
    <row r="65" spans="1:8" x14ac:dyDescent="0.3">
      <c r="A65" s="158" t="s">
        <v>349</v>
      </c>
      <c r="B65" s="78"/>
      <c r="C65" s="80"/>
      <c r="D65" s="80"/>
      <c r="E65" s="80"/>
      <c r="F65" s="80"/>
      <c r="G65" s="159"/>
      <c r="H65" s="84"/>
    </row>
    <row r="66" spans="1:8" x14ac:dyDescent="0.3">
      <c r="A66" s="160" t="s">
        <v>350</v>
      </c>
      <c r="B66" s="161" t="s">
        <v>351</v>
      </c>
      <c r="C66" s="80"/>
      <c r="D66" s="80"/>
      <c r="E66" s="80"/>
      <c r="F66" s="80"/>
      <c r="G66" s="80"/>
      <c r="H66" s="84"/>
    </row>
    <row r="67" spans="1:8" x14ac:dyDescent="0.3">
      <c r="A67" s="158" t="s">
        <v>352</v>
      </c>
      <c r="B67" s="162">
        <v>1.5900000000000001E-2</v>
      </c>
      <c r="C67" s="80"/>
      <c r="D67" s="80"/>
      <c r="E67" s="80"/>
      <c r="F67" s="80"/>
      <c r="G67" s="80"/>
      <c r="H67" s="84"/>
    </row>
    <row r="68" spans="1:8" x14ac:dyDescent="0.3">
      <c r="A68" s="158"/>
      <c r="B68" s="78"/>
      <c r="C68" s="80"/>
      <c r="D68" s="80"/>
      <c r="E68" s="80"/>
      <c r="F68" s="80"/>
      <c r="G68" s="80"/>
      <c r="H68" s="84"/>
    </row>
    <row r="69" spans="1:8" ht="18" x14ac:dyDescent="0.35">
      <c r="A69" s="332" t="s">
        <v>353</v>
      </c>
      <c r="B69" s="333"/>
      <c r="C69" s="333"/>
      <c r="D69" s="333"/>
      <c r="E69" s="333"/>
      <c r="F69" s="333"/>
      <c r="G69" s="333"/>
      <c r="H69" s="334"/>
    </row>
  </sheetData>
  <mergeCells count="3">
    <mergeCell ref="A1:H1"/>
    <mergeCell ref="A2:H2"/>
    <mergeCell ref="A69:H69"/>
  </mergeCells>
  <pageMargins left="0.7" right="0.7" top="0.75" bottom="0.75" header="0.3" footer="0.3"/>
  <pageSetup orientation="portrait" r:id="rId1"/>
  <headerFooter>
    <oddHeader>&amp;L&amp;"Calibri"&amp;10&amp;K000000 Official&amp;1#_x000D_</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51CA4-435A-47D6-98A9-8A32CE1E139F}">
  <dimension ref="B2:W87"/>
  <sheetViews>
    <sheetView topLeftCell="H68" workbookViewId="0">
      <selection activeCell="R86" sqref="R86"/>
    </sheetView>
  </sheetViews>
  <sheetFormatPr defaultRowHeight="14.4" x14ac:dyDescent="0.3"/>
  <cols>
    <col min="1" max="1" width="4.5546875" customWidth="1"/>
    <col min="2" max="2" width="6" bestFit="1" customWidth="1"/>
    <col min="3" max="3" width="5.109375" customWidth="1"/>
    <col min="5" max="5" width="14.77734375" bestFit="1" customWidth="1"/>
    <col min="6" max="6" width="10" bestFit="1" customWidth="1"/>
    <col min="7" max="7" width="4.6640625" customWidth="1"/>
    <col min="8" max="8" width="12.88671875" customWidth="1"/>
    <col min="9" max="9" width="18.33203125" bestFit="1" customWidth="1"/>
    <col min="11" max="11" width="5.44140625" bestFit="1" customWidth="1"/>
    <col min="12" max="12" width="8" bestFit="1" customWidth="1"/>
    <col min="13" max="13" width="6.21875" customWidth="1"/>
    <col min="14" max="14" width="11.5546875" bestFit="1" customWidth="1"/>
    <col min="15" max="15" width="11.109375" bestFit="1" customWidth="1"/>
    <col min="16" max="17" width="9.109375" bestFit="1" customWidth="1"/>
    <col min="18" max="18" width="16" bestFit="1" customWidth="1"/>
    <col min="19" max="19" width="17.44140625" bestFit="1" customWidth="1"/>
    <col min="20" max="20" width="9.33203125" bestFit="1" customWidth="1"/>
  </cols>
  <sheetData>
    <row r="2" spans="2:23" x14ac:dyDescent="0.3">
      <c r="W2" t="s">
        <v>580</v>
      </c>
    </row>
    <row r="3" spans="2:23" x14ac:dyDescent="0.3">
      <c r="B3" s="288" t="s">
        <v>579</v>
      </c>
      <c r="C3" s="289"/>
      <c r="D3" s="288" t="s">
        <v>578</v>
      </c>
      <c r="E3" s="288" t="s">
        <v>577</v>
      </c>
      <c r="F3" s="288" t="s">
        <v>576</v>
      </c>
      <c r="G3" s="289"/>
      <c r="H3" s="289"/>
      <c r="I3" s="288" t="s">
        <v>575</v>
      </c>
      <c r="N3" s="287" t="s">
        <v>574</v>
      </c>
      <c r="O3" s="287" t="s">
        <v>573</v>
      </c>
      <c r="P3" s="287" t="s">
        <v>568</v>
      </c>
      <c r="Q3" s="287" t="s">
        <v>119</v>
      </c>
      <c r="R3" s="287" t="s">
        <v>572</v>
      </c>
      <c r="S3" s="287" t="s">
        <v>571</v>
      </c>
      <c r="V3" t="s">
        <v>570</v>
      </c>
      <c r="W3" t="s">
        <v>569</v>
      </c>
    </row>
    <row r="5" spans="2:23" x14ac:dyDescent="0.3">
      <c r="B5">
        <v>5001</v>
      </c>
      <c r="D5" s="280">
        <v>55430.82</v>
      </c>
      <c r="E5" s="280"/>
      <c r="F5" s="280">
        <f t="shared" ref="F5:F16" si="0">SUM(D5,E5)</f>
        <v>55430.82</v>
      </c>
      <c r="H5" t="s">
        <v>559</v>
      </c>
      <c r="I5" t="s">
        <v>568</v>
      </c>
      <c r="K5" s="286">
        <v>0.79</v>
      </c>
      <c r="N5" s="280"/>
      <c r="O5" s="280"/>
      <c r="P5" s="280">
        <f>ROUND(F5*K5,2)</f>
        <v>43790.35</v>
      </c>
      <c r="Q5" s="280"/>
      <c r="R5" s="280">
        <f>F5-P5</f>
        <v>11640.470000000001</v>
      </c>
      <c r="S5" s="280"/>
      <c r="V5">
        <v>55950</v>
      </c>
      <c r="W5">
        <f t="shared" ref="W5:W16" si="1">F5-V5</f>
        <v>-519.18000000000029</v>
      </c>
    </row>
    <row r="6" spans="2:23" x14ac:dyDescent="0.3">
      <c r="B6">
        <v>50011</v>
      </c>
      <c r="D6" s="280">
        <v>49138.12</v>
      </c>
      <c r="E6" s="280"/>
      <c r="F6" s="280">
        <f t="shared" si="0"/>
        <v>49138.12</v>
      </c>
      <c r="H6" t="s">
        <v>559</v>
      </c>
      <c r="I6" t="s">
        <v>119</v>
      </c>
      <c r="K6" s="286">
        <v>1</v>
      </c>
      <c r="N6" s="280"/>
      <c r="O6" s="280"/>
      <c r="P6" s="280"/>
      <c r="Q6" s="280">
        <f>F6*K6</f>
        <v>49138.12</v>
      </c>
      <c r="R6" s="280"/>
      <c r="S6" s="280"/>
      <c r="V6">
        <f>16500+31546</f>
        <v>48046</v>
      </c>
      <c r="W6">
        <f t="shared" si="1"/>
        <v>1092.1200000000026</v>
      </c>
    </row>
    <row r="7" spans="2:23" x14ac:dyDescent="0.3">
      <c r="B7">
        <v>5002</v>
      </c>
      <c r="D7" s="280">
        <v>5224.83</v>
      </c>
      <c r="E7" s="280"/>
      <c r="F7" s="280">
        <f t="shared" si="0"/>
        <v>5224.83</v>
      </c>
      <c r="H7" t="s">
        <v>559</v>
      </c>
      <c r="I7" t="s">
        <v>568</v>
      </c>
      <c r="K7" s="286">
        <v>0.79</v>
      </c>
      <c r="N7" s="280"/>
      <c r="O7" s="280"/>
      <c r="P7" s="280">
        <f>ROUND(F7*K7,2)</f>
        <v>4127.62</v>
      </c>
      <c r="Q7" s="280"/>
      <c r="R7" s="280">
        <f>F7-P7</f>
        <v>1097.21</v>
      </c>
      <c r="S7" s="280"/>
      <c r="V7">
        <f>7721</f>
        <v>7721</v>
      </c>
      <c r="W7">
        <f t="shared" si="1"/>
        <v>-2496.17</v>
      </c>
    </row>
    <row r="8" spans="2:23" x14ac:dyDescent="0.3">
      <c r="B8">
        <v>50021</v>
      </c>
      <c r="D8" s="280">
        <v>1003.6</v>
      </c>
      <c r="E8" s="280"/>
      <c r="F8" s="280">
        <f t="shared" si="0"/>
        <v>1003.6</v>
      </c>
      <c r="H8" t="s">
        <v>559</v>
      </c>
      <c r="I8" t="s">
        <v>119</v>
      </c>
      <c r="K8" s="286">
        <v>1</v>
      </c>
      <c r="N8" s="280"/>
      <c r="O8" s="280"/>
      <c r="P8" s="280"/>
      <c r="Q8" s="280">
        <f>F8*K8</f>
        <v>1003.6</v>
      </c>
      <c r="R8" s="280"/>
      <c r="S8" s="280"/>
      <c r="V8">
        <f>6969</f>
        <v>6969</v>
      </c>
      <c r="W8">
        <f t="shared" si="1"/>
        <v>-5965.4</v>
      </c>
    </row>
    <row r="9" spans="2:23" x14ac:dyDescent="0.3">
      <c r="B9">
        <v>5003</v>
      </c>
      <c r="D9" s="280">
        <v>24181.16</v>
      </c>
      <c r="E9" s="280">
        <v>-24181.16</v>
      </c>
      <c r="F9" s="280">
        <f t="shared" si="0"/>
        <v>0</v>
      </c>
      <c r="H9" t="s">
        <v>559</v>
      </c>
      <c r="I9" t="s">
        <v>119</v>
      </c>
      <c r="K9" s="286">
        <v>1</v>
      </c>
      <c r="N9" s="280"/>
      <c r="O9" s="280"/>
      <c r="P9" s="280"/>
      <c r="Q9" s="280">
        <f>F9*K9</f>
        <v>0</v>
      </c>
      <c r="R9" s="280"/>
      <c r="S9" s="280"/>
      <c r="V9">
        <f>2301+1378</f>
        <v>3679</v>
      </c>
      <c r="W9">
        <f t="shared" si="1"/>
        <v>-3679</v>
      </c>
    </row>
    <row r="10" spans="2:23" x14ac:dyDescent="0.3">
      <c r="B10">
        <v>5020</v>
      </c>
      <c r="D10" s="280">
        <v>1170.46</v>
      </c>
      <c r="E10" s="280"/>
      <c r="F10" s="280">
        <f t="shared" si="0"/>
        <v>1170.46</v>
      </c>
      <c r="H10" t="s">
        <v>559</v>
      </c>
      <c r="I10" t="s">
        <v>568</v>
      </c>
      <c r="K10" s="286">
        <v>0.79</v>
      </c>
      <c r="N10" s="280"/>
      <c r="O10" s="280"/>
      <c r="P10" s="280">
        <f>ROUND(F10*K10,2)</f>
        <v>924.66</v>
      </c>
      <c r="Q10" s="280"/>
      <c r="R10" s="280">
        <f>F10-P10</f>
        <v>245.80000000000007</v>
      </c>
      <c r="S10" s="280"/>
      <c r="V10">
        <f>1126</f>
        <v>1126</v>
      </c>
      <c r="W10">
        <f t="shared" si="1"/>
        <v>44.460000000000036</v>
      </c>
    </row>
    <row r="11" spans="2:23" x14ac:dyDescent="0.3">
      <c r="B11">
        <v>5030</v>
      </c>
      <c r="D11" s="280">
        <v>0</v>
      </c>
      <c r="E11" s="280"/>
      <c r="F11" s="280">
        <f t="shared" si="0"/>
        <v>0</v>
      </c>
      <c r="H11" t="s">
        <v>559</v>
      </c>
      <c r="I11" t="s">
        <v>558</v>
      </c>
      <c r="K11" s="286">
        <v>0.79</v>
      </c>
      <c r="N11" s="280"/>
      <c r="O11" s="280">
        <f>ROUND(F11*K11,2)</f>
        <v>0</v>
      </c>
      <c r="P11" s="280"/>
      <c r="Q11" s="280"/>
      <c r="R11" s="280">
        <f>F11-P11</f>
        <v>0</v>
      </c>
      <c r="S11" s="280"/>
      <c r="V11">
        <v>1500</v>
      </c>
      <c r="W11">
        <f t="shared" si="1"/>
        <v>-1500</v>
      </c>
    </row>
    <row r="12" spans="2:23" x14ac:dyDescent="0.3">
      <c r="B12">
        <v>5042</v>
      </c>
      <c r="D12" s="280">
        <v>0</v>
      </c>
      <c r="E12" s="280"/>
      <c r="F12" s="280">
        <f t="shared" si="0"/>
        <v>0</v>
      </c>
      <c r="H12" t="s">
        <v>559</v>
      </c>
      <c r="I12" t="s">
        <v>568</v>
      </c>
      <c r="K12" s="286">
        <v>0.79</v>
      </c>
      <c r="N12" s="280"/>
      <c r="O12" s="280"/>
      <c r="P12" s="280">
        <f>ROUND(D12*K12,2)</f>
        <v>0</v>
      </c>
      <c r="Q12" s="280"/>
      <c r="R12" s="280">
        <f>F12-P12</f>
        <v>0</v>
      </c>
      <c r="S12" s="280"/>
      <c r="V12">
        <v>300</v>
      </c>
      <c r="W12">
        <f t="shared" si="1"/>
        <v>-300</v>
      </c>
    </row>
    <row r="13" spans="2:23" x14ac:dyDescent="0.3">
      <c r="B13">
        <v>5043</v>
      </c>
      <c r="D13" s="280">
        <v>0</v>
      </c>
      <c r="E13" s="280"/>
      <c r="F13" s="280">
        <f t="shared" si="0"/>
        <v>0</v>
      </c>
      <c r="H13" t="s">
        <v>559</v>
      </c>
      <c r="I13" t="s">
        <v>119</v>
      </c>
      <c r="K13" s="286">
        <v>1</v>
      </c>
      <c r="N13" s="280"/>
      <c r="O13" s="280"/>
      <c r="P13" s="280"/>
      <c r="Q13" s="280">
        <f>F13*K13</f>
        <v>0</v>
      </c>
      <c r="R13" s="280"/>
      <c r="S13" s="280"/>
      <c r="V13">
        <v>500</v>
      </c>
      <c r="W13">
        <f t="shared" si="1"/>
        <v>-500</v>
      </c>
    </row>
    <row r="14" spans="2:23" x14ac:dyDescent="0.3">
      <c r="B14">
        <v>5045</v>
      </c>
      <c r="D14" s="280">
        <v>2171.8000000000002</v>
      </c>
      <c r="E14" s="280"/>
      <c r="F14" s="280">
        <f t="shared" si="0"/>
        <v>2171.8000000000002</v>
      </c>
      <c r="H14" t="s">
        <v>559</v>
      </c>
      <c r="I14" t="s">
        <v>558</v>
      </c>
      <c r="K14" s="286">
        <v>0.79</v>
      </c>
      <c r="N14" s="280"/>
      <c r="O14" s="280">
        <f>ROUND(F14*K14,2)</f>
        <v>1715.72</v>
      </c>
      <c r="P14" s="280"/>
      <c r="Q14" s="280"/>
      <c r="R14" s="280">
        <f>F14-O14</f>
        <v>456.08000000000015</v>
      </c>
      <c r="S14" s="280"/>
      <c r="W14">
        <f t="shared" si="1"/>
        <v>2171.8000000000002</v>
      </c>
    </row>
    <row r="15" spans="2:23" x14ac:dyDescent="0.3">
      <c r="B15">
        <v>8050</v>
      </c>
      <c r="D15" s="280">
        <v>0</v>
      </c>
      <c r="E15" s="280"/>
      <c r="F15" s="280">
        <f t="shared" si="0"/>
        <v>0</v>
      </c>
      <c r="H15" t="s">
        <v>559</v>
      </c>
      <c r="I15" t="s">
        <v>558</v>
      </c>
      <c r="K15" s="286">
        <v>0.79</v>
      </c>
      <c r="N15" s="280"/>
      <c r="O15" s="280">
        <f>ROUND(F15*K15,2)</f>
        <v>0</v>
      </c>
      <c r="P15" s="280"/>
      <c r="Q15" s="280"/>
      <c r="R15" s="280">
        <f>F15-O15</f>
        <v>0</v>
      </c>
      <c r="S15" s="280"/>
      <c r="V15">
        <v>1464</v>
      </c>
      <c r="W15">
        <f t="shared" si="1"/>
        <v>-1464</v>
      </c>
    </row>
    <row r="16" spans="2:23" x14ac:dyDescent="0.3">
      <c r="B16">
        <v>8057</v>
      </c>
      <c r="D16" s="280">
        <v>618.36</v>
      </c>
      <c r="E16" s="280"/>
      <c r="F16" s="280">
        <f t="shared" si="0"/>
        <v>618.36</v>
      </c>
      <c r="H16" t="s">
        <v>559</v>
      </c>
      <c r="I16" t="s">
        <v>558</v>
      </c>
      <c r="K16" s="286">
        <v>0.79</v>
      </c>
      <c r="N16" s="280"/>
      <c r="O16" s="280">
        <f>ROUND(F16*K16,2)</f>
        <v>488.5</v>
      </c>
      <c r="P16" s="280"/>
      <c r="Q16" s="280"/>
      <c r="R16" s="280">
        <f>F16-O16</f>
        <v>129.86000000000001</v>
      </c>
      <c r="S16" s="280"/>
      <c r="W16">
        <f t="shared" si="1"/>
        <v>618.36</v>
      </c>
    </row>
    <row r="17" spans="2:23" x14ac:dyDescent="0.3">
      <c r="D17" s="280"/>
      <c r="E17" s="280"/>
      <c r="F17" s="280"/>
      <c r="N17" s="280"/>
      <c r="O17" s="280"/>
      <c r="P17" s="280"/>
      <c r="Q17" s="280"/>
      <c r="R17" s="280"/>
      <c r="S17" s="280"/>
    </row>
    <row r="18" spans="2:23" x14ac:dyDescent="0.3">
      <c r="B18">
        <v>6000</v>
      </c>
      <c r="D18" s="280">
        <v>12219.48</v>
      </c>
      <c r="E18" s="280"/>
      <c r="F18" s="280">
        <f t="shared" ref="F18:F34" si="2">SUM(D18,E18)</f>
        <v>12219.48</v>
      </c>
      <c r="H18" t="s">
        <v>562</v>
      </c>
      <c r="I18" t="s">
        <v>567</v>
      </c>
      <c r="K18" s="286">
        <v>1</v>
      </c>
      <c r="N18" s="280">
        <f t="shared" ref="N18:N33" si="3">F18*K18</f>
        <v>12219.48</v>
      </c>
      <c r="O18" s="280"/>
      <c r="P18" s="280"/>
      <c r="Q18" s="280"/>
      <c r="R18" s="280"/>
      <c r="S18" s="280"/>
      <c r="V18">
        <v>17838</v>
      </c>
      <c r="W18">
        <f t="shared" ref="W18:W57" si="4">F18-V18</f>
        <v>-5618.52</v>
      </c>
    </row>
    <row r="19" spans="2:23" x14ac:dyDescent="0.3">
      <c r="B19">
        <v>6020</v>
      </c>
      <c r="D19" s="280">
        <v>23562.06</v>
      </c>
      <c r="E19" s="280"/>
      <c r="F19" s="280">
        <f t="shared" si="2"/>
        <v>23562.06</v>
      </c>
      <c r="H19" t="s">
        <v>562</v>
      </c>
      <c r="I19" t="s">
        <v>561</v>
      </c>
      <c r="K19" s="286">
        <v>1</v>
      </c>
      <c r="N19" s="280">
        <f t="shared" si="3"/>
        <v>23562.06</v>
      </c>
      <c r="O19" s="280"/>
      <c r="P19" s="280"/>
      <c r="Q19" s="280"/>
      <c r="R19" s="280"/>
      <c r="S19" s="280"/>
      <c r="V19">
        <v>22000</v>
      </c>
      <c r="W19">
        <f t="shared" si="4"/>
        <v>1562.0600000000013</v>
      </c>
    </row>
    <row r="20" spans="2:23" x14ac:dyDescent="0.3">
      <c r="B20">
        <v>6026</v>
      </c>
      <c r="D20" s="280">
        <v>152.22999999999999</v>
      </c>
      <c r="E20" s="280"/>
      <c r="F20" s="280">
        <f t="shared" si="2"/>
        <v>152.22999999999999</v>
      </c>
      <c r="H20" t="s">
        <v>562</v>
      </c>
      <c r="I20" t="s">
        <v>561</v>
      </c>
      <c r="K20" s="286">
        <v>1</v>
      </c>
      <c r="N20" s="280">
        <f t="shared" si="3"/>
        <v>152.22999999999999</v>
      </c>
      <c r="O20" s="280"/>
      <c r="P20" s="280"/>
      <c r="Q20" s="280"/>
      <c r="R20" s="280"/>
      <c r="S20" s="280"/>
      <c r="V20">
        <v>4000</v>
      </c>
      <c r="W20">
        <f t="shared" si="4"/>
        <v>-3847.77</v>
      </c>
    </row>
    <row r="21" spans="2:23" x14ac:dyDescent="0.3">
      <c r="B21">
        <v>6027</v>
      </c>
      <c r="D21" s="280">
        <v>1012.44</v>
      </c>
      <c r="E21" s="280"/>
      <c r="F21" s="280">
        <f t="shared" si="2"/>
        <v>1012.44</v>
      </c>
      <c r="H21" t="s">
        <v>562</v>
      </c>
      <c r="I21" t="s">
        <v>561</v>
      </c>
      <c r="K21" s="286">
        <v>1</v>
      </c>
      <c r="N21" s="280">
        <f t="shared" si="3"/>
        <v>1012.44</v>
      </c>
      <c r="O21" s="280"/>
      <c r="P21" s="280"/>
      <c r="Q21" s="280"/>
      <c r="R21" s="280"/>
      <c r="S21" s="280"/>
      <c r="V21">
        <v>1100</v>
      </c>
      <c r="W21">
        <f t="shared" si="4"/>
        <v>-87.559999999999945</v>
      </c>
    </row>
    <row r="22" spans="2:23" x14ac:dyDescent="0.3">
      <c r="B22">
        <v>6034</v>
      </c>
      <c r="D22" s="280">
        <v>0</v>
      </c>
      <c r="E22" s="280"/>
      <c r="F22" s="280">
        <f t="shared" si="2"/>
        <v>0</v>
      </c>
      <c r="H22" t="s">
        <v>562</v>
      </c>
      <c r="I22" t="s">
        <v>561</v>
      </c>
      <c r="K22" s="286">
        <v>1</v>
      </c>
      <c r="N22" s="280">
        <f t="shared" si="3"/>
        <v>0</v>
      </c>
      <c r="O22" s="280"/>
      <c r="P22" s="280"/>
      <c r="Q22" s="280"/>
      <c r="R22" s="280"/>
      <c r="S22" s="280"/>
      <c r="V22">
        <v>1000</v>
      </c>
      <c r="W22">
        <f t="shared" si="4"/>
        <v>-1000</v>
      </c>
    </row>
    <row r="23" spans="2:23" x14ac:dyDescent="0.3">
      <c r="B23">
        <v>6035</v>
      </c>
      <c r="D23" s="280">
        <v>0</v>
      </c>
      <c r="E23" s="280"/>
      <c r="F23" s="280">
        <f t="shared" si="2"/>
        <v>0</v>
      </c>
      <c r="H23" t="s">
        <v>562</v>
      </c>
      <c r="I23" t="s">
        <v>561</v>
      </c>
      <c r="K23" s="286">
        <v>1</v>
      </c>
      <c r="N23" s="280">
        <f t="shared" si="3"/>
        <v>0</v>
      </c>
      <c r="O23" s="280"/>
      <c r="P23" s="280"/>
      <c r="Q23" s="280"/>
      <c r="R23" s="280"/>
      <c r="S23" s="280"/>
      <c r="V23">
        <v>1000</v>
      </c>
      <c r="W23">
        <f t="shared" si="4"/>
        <v>-1000</v>
      </c>
    </row>
    <row r="24" spans="2:23" x14ac:dyDescent="0.3">
      <c r="B24">
        <v>6040</v>
      </c>
      <c r="D24" s="280">
        <v>15920</v>
      </c>
      <c r="E24" s="280">
        <v>-15000</v>
      </c>
      <c r="F24" s="280">
        <f t="shared" si="2"/>
        <v>920</v>
      </c>
      <c r="H24" t="s">
        <v>562</v>
      </c>
      <c r="I24" t="s">
        <v>561</v>
      </c>
      <c r="K24" s="286">
        <v>1</v>
      </c>
      <c r="N24" s="280">
        <f t="shared" si="3"/>
        <v>920</v>
      </c>
      <c r="O24" s="280"/>
      <c r="P24" s="280"/>
      <c r="Q24" s="280"/>
      <c r="R24" s="280"/>
      <c r="S24" s="280"/>
      <c r="V24">
        <v>15000</v>
      </c>
      <c r="W24">
        <f t="shared" si="4"/>
        <v>-14080</v>
      </c>
    </row>
    <row r="25" spans="2:23" x14ac:dyDescent="0.3">
      <c r="B25">
        <v>6045</v>
      </c>
      <c r="D25" s="280">
        <v>0</v>
      </c>
      <c r="E25" s="280">
        <v>633.94000000000005</v>
      </c>
      <c r="F25" s="280">
        <f t="shared" si="2"/>
        <v>633.94000000000005</v>
      </c>
      <c r="H25" t="s">
        <v>562</v>
      </c>
      <c r="I25" t="s">
        <v>566</v>
      </c>
      <c r="K25" s="286">
        <v>0</v>
      </c>
      <c r="N25" s="280">
        <f t="shared" si="3"/>
        <v>0</v>
      </c>
      <c r="O25" s="280"/>
      <c r="P25" s="280"/>
      <c r="Q25" s="280"/>
      <c r="R25" s="280"/>
      <c r="S25" s="280"/>
      <c r="W25">
        <f t="shared" si="4"/>
        <v>633.94000000000005</v>
      </c>
    </row>
    <row r="26" spans="2:23" x14ac:dyDescent="0.3">
      <c r="B26">
        <v>6060</v>
      </c>
      <c r="D26" s="280">
        <v>6020</v>
      </c>
      <c r="E26" s="280"/>
      <c r="F26" s="280">
        <f t="shared" si="2"/>
        <v>6020</v>
      </c>
      <c r="H26" t="s">
        <v>562</v>
      </c>
      <c r="I26" t="s">
        <v>566</v>
      </c>
      <c r="K26" s="286">
        <v>1</v>
      </c>
      <c r="N26" s="280">
        <f t="shared" si="3"/>
        <v>6020</v>
      </c>
      <c r="O26" s="280"/>
      <c r="P26" s="280"/>
      <c r="Q26" s="280"/>
      <c r="R26" s="280"/>
      <c r="S26" s="280"/>
      <c r="V26">
        <v>6500</v>
      </c>
      <c r="W26">
        <f t="shared" si="4"/>
        <v>-480</v>
      </c>
    </row>
    <row r="27" spans="2:23" x14ac:dyDescent="0.3">
      <c r="B27">
        <v>6061</v>
      </c>
      <c r="D27" s="280">
        <v>0</v>
      </c>
      <c r="E27" s="280"/>
      <c r="F27" s="280">
        <f t="shared" si="2"/>
        <v>0</v>
      </c>
      <c r="H27" t="s">
        <v>562</v>
      </c>
      <c r="I27" t="s">
        <v>566</v>
      </c>
      <c r="K27" s="286">
        <v>1</v>
      </c>
      <c r="N27" s="280">
        <f t="shared" si="3"/>
        <v>0</v>
      </c>
      <c r="O27" s="280"/>
      <c r="P27" s="280"/>
      <c r="Q27" s="280"/>
      <c r="R27" s="280"/>
      <c r="S27" s="280"/>
      <c r="V27">
        <v>2500</v>
      </c>
      <c r="W27">
        <f t="shared" si="4"/>
        <v>-2500</v>
      </c>
    </row>
    <row r="28" spans="2:23" x14ac:dyDescent="0.3">
      <c r="B28">
        <v>6130</v>
      </c>
      <c r="D28" s="280">
        <v>2148.2800000000002</v>
      </c>
      <c r="E28" s="280"/>
      <c r="F28" s="280">
        <f t="shared" si="2"/>
        <v>2148.2800000000002</v>
      </c>
      <c r="H28" t="s">
        <v>559</v>
      </c>
      <c r="I28" t="s">
        <v>565</v>
      </c>
      <c r="K28" s="286">
        <v>1</v>
      </c>
      <c r="N28" s="280">
        <f t="shared" si="3"/>
        <v>2148.2800000000002</v>
      </c>
      <c r="O28" s="280"/>
      <c r="P28" s="280"/>
      <c r="Q28" s="280"/>
      <c r="R28" s="280"/>
      <c r="S28" s="280"/>
      <c r="V28">
        <v>3925</v>
      </c>
      <c r="W28">
        <f t="shared" si="4"/>
        <v>-1776.7199999999998</v>
      </c>
    </row>
    <row r="29" spans="2:23" x14ac:dyDescent="0.3">
      <c r="B29">
        <v>6140</v>
      </c>
      <c r="D29" s="280">
        <v>0</v>
      </c>
      <c r="E29" s="280"/>
      <c r="F29" s="280">
        <f t="shared" si="2"/>
        <v>0</v>
      </c>
      <c r="H29" t="s">
        <v>559</v>
      </c>
      <c r="I29" t="s">
        <v>320</v>
      </c>
      <c r="K29" s="286">
        <v>1</v>
      </c>
      <c r="N29" s="280">
        <f t="shared" si="3"/>
        <v>0</v>
      </c>
      <c r="O29" s="280"/>
      <c r="P29" s="280"/>
      <c r="Q29" s="280"/>
      <c r="R29" s="280"/>
      <c r="S29" s="280"/>
      <c r="V29">
        <f>700+500</f>
        <v>1200</v>
      </c>
      <c r="W29">
        <f t="shared" si="4"/>
        <v>-1200</v>
      </c>
    </row>
    <row r="30" spans="2:23" x14ac:dyDescent="0.3">
      <c r="B30">
        <v>6147</v>
      </c>
      <c r="D30" s="280">
        <v>1463.24</v>
      </c>
      <c r="E30" s="280">
        <v>-447.03</v>
      </c>
      <c r="F30" s="280">
        <f t="shared" si="2"/>
        <v>1016.21</v>
      </c>
      <c r="H30" t="s">
        <v>562</v>
      </c>
      <c r="I30" t="s">
        <v>561</v>
      </c>
      <c r="K30" s="286">
        <v>1</v>
      </c>
      <c r="N30" s="280">
        <f t="shared" si="3"/>
        <v>1016.21</v>
      </c>
      <c r="O30" s="280"/>
      <c r="P30" s="280"/>
      <c r="Q30" s="280"/>
      <c r="R30" s="280"/>
      <c r="S30" s="280"/>
      <c r="V30">
        <v>4000</v>
      </c>
      <c r="W30">
        <f t="shared" si="4"/>
        <v>-2983.79</v>
      </c>
    </row>
    <row r="31" spans="2:23" x14ac:dyDescent="0.3">
      <c r="B31">
        <v>6160</v>
      </c>
      <c r="D31" s="280">
        <v>12000</v>
      </c>
      <c r="E31" s="280"/>
      <c r="F31" s="280">
        <f t="shared" si="2"/>
        <v>12000</v>
      </c>
      <c r="H31" t="s">
        <v>559</v>
      </c>
      <c r="I31" t="s">
        <v>564</v>
      </c>
      <c r="K31" s="286">
        <v>1</v>
      </c>
      <c r="N31" s="280">
        <f t="shared" si="3"/>
        <v>12000</v>
      </c>
      <c r="O31" s="280"/>
      <c r="P31" s="280"/>
      <c r="Q31" s="280"/>
      <c r="R31" s="280"/>
      <c r="S31" s="280"/>
      <c r="V31">
        <v>12000</v>
      </c>
      <c r="W31">
        <f t="shared" si="4"/>
        <v>0</v>
      </c>
    </row>
    <row r="32" spans="2:23" x14ac:dyDescent="0.3">
      <c r="B32">
        <v>6175</v>
      </c>
      <c r="D32" s="280">
        <v>2496</v>
      </c>
      <c r="E32" s="280"/>
      <c r="F32" s="280">
        <f t="shared" si="2"/>
        <v>2496</v>
      </c>
      <c r="H32" t="s">
        <v>562</v>
      </c>
      <c r="I32" t="s">
        <v>563</v>
      </c>
      <c r="K32" s="286">
        <v>1</v>
      </c>
      <c r="N32" s="280">
        <f t="shared" si="3"/>
        <v>2496</v>
      </c>
      <c r="O32" s="280"/>
      <c r="P32" s="280"/>
      <c r="Q32" s="280"/>
      <c r="R32" s="280"/>
      <c r="S32" s="280"/>
      <c r="V32">
        <v>2455</v>
      </c>
      <c r="W32">
        <f t="shared" si="4"/>
        <v>41</v>
      </c>
    </row>
    <row r="33" spans="2:23" x14ac:dyDescent="0.3">
      <c r="B33">
        <v>6185</v>
      </c>
      <c r="D33" s="280">
        <v>0</v>
      </c>
      <c r="E33" s="280"/>
      <c r="F33" s="280">
        <f t="shared" si="2"/>
        <v>0</v>
      </c>
      <c r="H33" t="s">
        <v>562</v>
      </c>
      <c r="I33" t="s">
        <v>561</v>
      </c>
      <c r="K33" s="286">
        <v>1</v>
      </c>
      <c r="N33" s="280">
        <f t="shared" si="3"/>
        <v>0</v>
      </c>
      <c r="O33" s="280"/>
      <c r="P33" s="280"/>
      <c r="Q33" s="280"/>
      <c r="R33" s="280"/>
      <c r="S33" s="280"/>
      <c r="V33">
        <v>300</v>
      </c>
      <c r="W33">
        <f t="shared" si="4"/>
        <v>-300</v>
      </c>
    </row>
    <row r="34" spans="2:23" x14ac:dyDescent="0.3">
      <c r="B34">
        <v>6190</v>
      </c>
      <c r="D34" s="280">
        <v>3590</v>
      </c>
      <c r="E34" s="280"/>
      <c r="F34" s="280">
        <f t="shared" si="2"/>
        <v>3590</v>
      </c>
      <c r="H34" t="s">
        <v>559</v>
      </c>
      <c r="I34" t="s">
        <v>560</v>
      </c>
      <c r="K34" s="286">
        <v>1</v>
      </c>
      <c r="N34" s="280">
        <f>D34*K34</f>
        <v>3590</v>
      </c>
      <c r="O34" s="280"/>
      <c r="P34" s="280"/>
      <c r="Q34" s="280"/>
      <c r="R34" s="280"/>
      <c r="S34" s="280"/>
      <c r="V34">
        <v>3000</v>
      </c>
      <c r="W34">
        <f t="shared" si="4"/>
        <v>590</v>
      </c>
    </row>
    <row r="35" spans="2:23" x14ac:dyDescent="0.3">
      <c r="D35" s="280"/>
      <c r="E35" s="280"/>
      <c r="F35" s="280"/>
      <c r="K35" s="286"/>
      <c r="N35" s="280"/>
      <c r="O35" s="280"/>
      <c r="P35" s="280"/>
      <c r="Q35" s="280"/>
      <c r="R35" s="280"/>
      <c r="S35" s="280"/>
      <c r="W35">
        <f t="shared" si="4"/>
        <v>0</v>
      </c>
    </row>
    <row r="36" spans="2:23" x14ac:dyDescent="0.3">
      <c r="B36">
        <v>6315</v>
      </c>
      <c r="D36" s="280">
        <v>3366.67</v>
      </c>
      <c r="E36" s="280">
        <v>-3366.67</v>
      </c>
      <c r="F36" s="280">
        <f t="shared" ref="F36:F76" si="5">SUM(D36,E36)</f>
        <v>0</v>
      </c>
      <c r="H36" t="s">
        <v>559</v>
      </c>
      <c r="I36" t="s">
        <v>558</v>
      </c>
      <c r="K36" s="286">
        <v>0.79</v>
      </c>
      <c r="N36" s="280"/>
      <c r="O36" s="280">
        <f t="shared" ref="O36:O57" si="6">ROUND(F36*K36,2)</f>
        <v>0</v>
      </c>
      <c r="P36" s="280"/>
      <c r="Q36" s="280"/>
      <c r="R36" s="280">
        <f t="shared" ref="R36:R57" si="7">F36-O36</f>
        <v>0</v>
      </c>
      <c r="S36" s="280"/>
      <c r="V36">
        <v>8500</v>
      </c>
      <c r="W36">
        <f t="shared" si="4"/>
        <v>-8500</v>
      </c>
    </row>
    <row r="37" spans="2:23" x14ac:dyDescent="0.3">
      <c r="B37">
        <v>7000</v>
      </c>
      <c r="D37" s="280">
        <v>1994.52</v>
      </c>
      <c r="E37" s="280"/>
      <c r="F37" s="280">
        <f t="shared" si="5"/>
        <v>1994.52</v>
      </c>
      <c r="H37" t="s">
        <v>559</v>
      </c>
      <c r="I37" t="s">
        <v>558</v>
      </c>
      <c r="K37" s="286">
        <v>0.79</v>
      </c>
      <c r="N37" s="280"/>
      <c r="O37" s="280">
        <f t="shared" si="6"/>
        <v>1575.67</v>
      </c>
      <c r="P37" s="280"/>
      <c r="Q37" s="280"/>
      <c r="R37" s="280">
        <f t="shared" si="7"/>
        <v>418.84999999999991</v>
      </c>
      <c r="S37" s="280"/>
      <c r="V37">
        <v>1910</v>
      </c>
      <c r="W37">
        <f t="shared" si="4"/>
        <v>84.519999999999982</v>
      </c>
    </row>
    <row r="38" spans="2:23" x14ac:dyDescent="0.3">
      <c r="B38">
        <v>7001</v>
      </c>
      <c r="D38" s="280">
        <v>90.01</v>
      </c>
      <c r="E38" s="280"/>
      <c r="F38" s="280">
        <f t="shared" si="5"/>
        <v>90.01</v>
      </c>
      <c r="H38" t="s">
        <v>559</v>
      </c>
      <c r="I38" t="s">
        <v>558</v>
      </c>
      <c r="K38" s="286">
        <v>0.79</v>
      </c>
      <c r="N38" s="280"/>
      <c r="O38" s="280">
        <f t="shared" si="6"/>
        <v>71.11</v>
      </c>
      <c r="P38" s="280"/>
      <c r="Q38" s="280"/>
      <c r="R38" s="280">
        <f t="shared" si="7"/>
        <v>18.900000000000006</v>
      </c>
      <c r="S38" s="280"/>
      <c r="V38">
        <v>272</v>
      </c>
      <c r="W38">
        <f t="shared" si="4"/>
        <v>-181.99</v>
      </c>
    </row>
    <row r="39" spans="2:23" x14ac:dyDescent="0.3">
      <c r="B39">
        <v>7002</v>
      </c>
      <c r="D39" s="280">
        <v>368.64</v>
      </c>
      <c r="E39" s="280"/>
      <c r="F39" s="280">
        <f t="shared" si="5"/>
        <v>368.64</v>
      </c>
      <c r="H39" t="s">
        <v>559</v>
      </c>
      <c r="I39" t="s">
        <v>558</v>
      </c>
      <c r="K39" s="286">
        <v>0.79</v>
      </c>
      <c r="N39" s="280"/>
      <c r="O39" s="280">
        <f t="shared" si="6"/>
        <v>291.23</v>
      </c>
      <c r="P39" s="280"/>
      <c r="Q39" s="280"/>
      <c r="R39" s="280">
        <f t="shared" si="7"/>
        <v>77.409999999999968</v>
      </c>
      <c r="S39" s="280"/>
      <c r="V39">
        <v>505</v>
      </c>
      <c r="W39">
        <f t="shared" si="4"/>
        <v>-136.36000000000001</v>
      </c>
    </row>
    <row r="40" spans="2:23" x14ac:dyDescent="0.3">
      <c r="B40">
        <v>7005</v>
      </c>
      <c r="D40" s="280">
        <v>822.43</v>
      </c>
      <c r="E40" s="280"/>
      <c r="F40" s="280">
        <f t="shared" si="5"/>
        <v>822.43</v>
      </c>
      <c r="K40" s="286">
        <v>0.79</v>
      </c>
      <c r="N40" s="280"/>
      <c r="O40" s="280">
        <f t="shared" si="6"/>
        <v>649.72</v>
      </c>
      <c r="P40" s="280"/>
      <c r="Q40" s="280"/>
      <c r="R40" s="280">
        <f t="shared" si="7"/>
        <v>172.70999999999992</v>
      </c>
      <c r="S40" s="280"/>
      <c r="V40">
        <v>0</v>
      </c>
      <c r="W40">
        <f t="shared" si="4"/>
        <v>822.43</v>
      </c>
    </row>
    <row r="41" spans="2:23" x14ac:dyDescent="0.3">
      <c r="B41">
        <v>7010</v>
      </c>
      <c r="D41" s="280">
        <v>2662.63</v>
      </c>
      <c r="E41" s="280"/>
      <c r="F41" s="280">
        <f t="shared" si="5"/>
        <v>2662.63</v>
      </c>
      <c r="H41" t="s">
        <v>559</v>
      </c>
      <c r="I41" t="s">
        <v>558</v>
      </c>
      <c r="K41" s="286">
        <v>0.79</v>
      </c>
      <c r="N41" s="280"/>
      <c r="O41" s="280">
        <f t="shared" si="6"/>
        <v>2103.48</v>
      </c>
      <c r="P41" s="280"/>
      <c r="Q41" s="280"/>
      <c r="R41" s="280">
        <f t="shared" si="7"/>
        <v>559.15000000000009</v>
      </c>
      <c r="S41" s="280"/>
      <c r="V41">
        <v>2796</v>
      </c>
      <c r="W41">
        <f t="shared" si="4"/>
        <v>-133.36999999999989</v>
      </c>
    </row>
    <row r="42" spans="2:23" x14ac:dyDescent="0.3">
      <c r="B42">
        <v>7020</v>
      </c>
      <c r="D42" s="280">
        <v>3293.29</v>
      </c>
      <c r="E42" s="280"/>
      <c r="F42" s="280">
        <f t="shared" si="5"/>
        <v>3293.29</v>
      </c>
      <c r="H42" t="s">
        <v>559</v>
      </c>
      <c r="I42" t="s">
        <v>558</v>
      </c>
      <c r="K42" s="286">
        <v>0.79</v>
      </c>
      <c r="N42" s="280"/>
      <c r="O42" s="280">
        <f t="shared" si="6"/>
        <v>2601.6999999999998</v>
      </c>
      <c r="P42" s="280"/>
      <c r="Q42" s="280"/>
      <c r="R42" s="280">
        <f t="shared" si="7"/>
        <v>691.59000000000015</v>
      </c>
      <c r="S42" s="280"/>
      <c r="V42">
        <v>2500</v>
      </c>
      <c r="W42">
        <f t="shared" si="4"/>
        <v>793.29</v>
      </c>
    </row>
    <row r="43" spans="2:23" x14ac:dyDescent="0.3">
      <c r="B43">
        <v>7021</v>
      </c>
      <c r="D43" s="280">
        <v>432.11</v>
      </c>
      <c r="E43" s="280"/>
      <c r="F43" s="280">
        <f t="shared" si="5"/>
        <v>432.11</v>
      </c>
      <c r="H43" t="s">
        <v>559</v>
      </c>
      <c r="I43" t="s">
        <v>558</v>
      </c>
      <c r="K43" s="286">
        <v>0.79</v>
      </c>
      <c r="N43" s="280"/>
      <c r="O43" s="280">
        <f t="shared" si="6"/>
        <v>341.37</v>
      </c>
      <c r="P43" s="280"/>
      <c r="Q43" s="280"/>
      <c r="R43" s="280">
        <f t="shared" si="7"/>
        <v>90.740000000000009</v>
      </c>
      <c r="S43" s="280"/>
      <c r="V43">
        <v>12</v>
      </c>
      <c r="W43">
        <f t="shared" si="4"/>
        <v>420.11</v>
      </c>
    </row>
    <row r="44" spans="2:23" x14ac:dyDescent="0.3">
      <c r="B44">
        <v>7022</v>
      </c>
      <c r="D44" s="280">
        <v>1152.24</v>
      </c>
      <c r="E44" s="280"/>
      <c r="F44" s="280">
        <f t="shared" si="5"/>
        <v>1152.24</v>
      </c>
      <c r="H44" t="s">
        <v>559</v>
      </c>
      <c r="I44" t="s">
        <v>558</v>
      </c>
      <c r="K44" s="286">
        <v>0.79</v>
      </c>
      <c r="N44" s="280"/>
      <c r="O44" s="280">
        <f t="shared" si="6"/>
        <v>910.27</v>
      </c>
      <c r="P44" s="280"/>
      <c r="Q44" s="280"/>
      <c r="R44" s="280">
        <f t="shared" si="7"/>
        <v>241.97000000000003</v>
      </c>
      <c r="S44" s="280"/>
      <c r="V44">
        <v>1020</v>
      </c>
      <c r="W44">
        <f t="shared" si="4"/>
        <v>132.24</v>
      </c>
    </row>
    <row r="45" spans="2:23" x14ac:dyDescent="0.3">
      <c r="B45">
        <v>7030</v>
      </c>
      <c r="D45" s="280">
        <v>0.94</v>
      </c>
      <c r="E45" s="280"/>
      <c r="F45" s="280">
        <f t="shared" si="5"/>
        <v>0.94</v>
      </c>
      <c r="H45" t="s">
        <v>559</v>
      </c>
      <c r="I45" t="s">
        <v>558</v>
      </c>
      <c r="K45" s="286">
        <v>0.79</v>
      </c>
      <c r="N45" s="280"/>
      <c r="O45" s="280">
        <f t="shared" si="6"/>
        <v>0.74</v>
      </c>
      <c r="P45" s="280"/>
      <c r="Q45" s="280"/>
      <c r="R45" s="280">
        <f t="shared" si="7"/>
        <v>0.19999999999999996</v>
      </c>
      <c r="S45" s="280"/>
      <c r="V45">
        <v>300</v>
      </c>
      <c r="W45">
        <f t="shared" si="4"/>
        <v>-299.06</v>
      </c>
    </row>
    <row r="46" spans="2:23" x14ac:dyDescent="0.3">
      <c r="B46">
        <v>7031</v>
      </c>
      <c r="D46" s="280">
        <v>210</v>
      </c>
      <c r="E46" s="280"/>
      <c r="F46" s="280">
        <f t="shared" si="5"/>
        <v>210</v>
      </c>
      <c r="H46" t="s">
        <v>559</v>
      </c>
      <c r="I46" t="s">
        <v>558</v>
      </c>
      <c r="K46" s="286">
        <v>0.79</v>
      </c>
      <c r="N46" s="280"/>
      <c r="O46" s="280">
        <f t="shared" si="6"/>
        <v>165.9</v>
      </c>
      <c r="P46" s="280"/>
      <c r="Q46" s="280"/>
      <c r="R46" s="280">
        <f t="shared" si="7"/>
        <v>44.099999999999994</v>
      </c>
      <c r="S46" s="280"/>
      <c r="V46">
        <v>550</v>
      </c>
      <c r="W46">
        <f t="shared" si="4"/>
        <v>-340</v>
      </c>
    </row>
    <row r="47" spans="2:23" x14ac:dyDescent="0.3">
      <c r="B47">
        <v>7032</v>
      </c>
      <c r="D47" s="280">
        <v>149.69999999999999</v>
      </c>
      <c r="E47" s="280"/>
      <c r="F47" s="280">
        <f t="shared" si="5"/>
        <v>149.69999999999999</v>
      </c>
      <c r="H47" t="s">
        <v>559</v>
      </c>
      <c r="I47" t="s">
        <v>558</v>
      </c>
      <c r="K47" s="286">
        <v>0.79</v>
      </c>
      <c r="N47" s="280"/>
      <c r="O47" s="280">
        <f t="shared" si="6"/>
        <v>118.26</v>
      </c>
      <c r="P47" s="280"/>
      <c r="Q47" s="280"/>
      <c r="R47" s="280">
        <f t="shared" si="7"/>
        <v>31.439999999999984</v>
      </c>
      <c r="S47" s="280"/>
      <c r="V47">
        <v>950</v>
      </c>
      <c r="W47">
        <f t="shared" si="4"/>
        <v>-800.3</v>
      </c>
    </row>
    <row r="48" spans="2:23" x14ac:dyDescent="0.3">
      <c r="B48">
        <v>7040</v>
      </c>
      <c r="D48" s="280">
        <v>75.33</v>
      </c>
      <c r="E48" s="280"/>
      <c r="F48" s="280">
        <f t="shared" si="5"/>
        <v>75.33</v>
      </c>
      <c r="H48" t="s">
        <v>559</v>
      </c>
      <c r="I48" t="s">
        <v>558</v>
      </c>
      <c r="K48" s="286">
        <v>0.79</v>
      </c>
      <c r="N48" s="280"/>
      <c r="O48" s="280">
        <f t="shared" si="6"/>
        <v>59.51</v>
      </c>
      <c r="P48" s="280"/>
      <c r="Q48" s="280"/>
      <c r="R48" s="280">
        <f t="shared" si="7"/>
        <v>15.82</v>
      </c>
      <c r="S48" s="280"/>
      <c r="V48">
        <v>500</v>
      </c>
      <c r="W48">
        <f t="shared" si="4"/>
        <v>-424.67</v>
      </c>
    </row>
    <row r="49" spans="2:23" x14ac:dyDescent="0.3">
      <c r="B49">
        <v>7050</v>
      </c>
      <c r="D49" s="280">
        <v>1231.75</v>
      </c>
      <c r="E49" s="280"/>
      <c r="F49" s="280">
        <f t="shared" si="5"/>
        <v>1231.75</v>
      </c>
      <c r="H49" t="s">
        <v>559</v>
      </c>
      <c r="I49" t="s">
        <v>558</v>
      </c>
      <c r="K49" s="286">
        <v>0.79</v>
      </c>
      <c r="N49" s="280"/>
      <c r="O49" s="280">
        <f t="shared" si="6"/>
        <v>973.08</v>
      </c>
      <c r="P49" s="280"/>
      <c r="Q49" s="280"/>
      <c r="R49" s="280">
        <f t="shared" si="7"/>
        <v>258.66999999999996</v>
      </c>
      <c r="S49" s="280"/>
      <c r="V49">
        <v>714</v>
      </c>
      <c r="W49">
        <f t="shared" si="4"/>
        <v>517.75</v>
      </c>
    </row>
    <row r="50" spans="2:23" x14ac:dyDescent="0.3">
      <c r="B50">
        <v>7060</v>
      </c>
      <c r="D50" s="280">
        <v>0</v>
      </c>
      <c r="E50" s="280"/>
      <c r="F50" s="280">
        <f t="shared" si="5"/>
        <v>0</v>
      </c>
      <c r="H50" t="s">
        <v>559</v>
      </c>
      <c r="I50" t="s">
        <v>558</v>
      </c>
      <c r="K50" s="286">
        <v>0.79</v>
      </c>
      <c r="N50" s="280"/>
      <c r="O50" s="280">
        <f t="shared" si="6"/>
        <v>0</v>
      </c>
      <c r="P50" s="280"/>
      <c r="Q50" s="280"/>
      <c r="R50" s="280">
        <f t="shared" si="7"/>
        <v>0</v>
      </c>
      <c r="S50" s="280"/>
      <c r="V50">
        <v>1000</v>
      </c>
      <c r="W50">
        <f t="shared" si="4"/>
        <v>-1000</v>
      </c>
    </row>
    <row r="51" spans="2:23" x14ac:dyDescent="0.3">
      <c r="B51">
        <v>7065</v>
      </c>
      <c r="D51" s="280">
        <v>0</v>
      </c>
      <c r="E51" s="280"/>
      <c r="F51" s="280">
        <f t="shared" si="5"/>
        <v>0</v>
      </c>
      <c r="H51" t="s">
        <v>559</v>
      </c>
      <c r="I51" t="s">
        <v>558</v>
      </c>
      <c r="K51" s="286">
        <v>0.79</v>
      </c>
      <c r="N51" s="280"/>
      <c r="O51" s="280">
        <f t="shared" si="6"/>
        <v>0</v>
      </c>
      <c r="P51" s="280"/>
      <c r="Q51" s="280"/>
      <c r="R51" s="280">
        <f t="shared" si="7"/>
        <v>0</v>
      </c>
      <c r="S51" s="280"/>
      <c r="V51">
        <v>100</v>
      </c>
      <c r="W51">
        <f t="shared" si="4"/>
        <v>-100</v>
      </c>
    </row>
    <row r="52" spans="2:23" x14ac:dyDescent="0.3">
      <c r="B52">
        <v>7070</v>
      </c>
      <c r="D52" s="280">
        <v>515.20000000000005</v>
      </c>
      <c r="E52" s="280"/>
      <c r="F52" s="280">
        <f t="shared" si="5"/>
        <v>515.20000000000005</v>
      </c>
      <c r="H52" t="s">
        <v>559</v>
      </c>
      <c r="I52" t="s">
        <v>558</v>
      </c>
      <c r="K52" s="286">
        <v>0.79</v>
      </c>
      <c r="N52" s="280"/>
      <c r="O52" s="280">
        <f t="shared" si="6"/>
        <v>407.01</v>
      </c>
      <c r="P52" s="280"/>
      <c r="Q52" s="280"/>
      <c r="R52" s="280">
        <f t="shared" si="7"/>
        <v>108.19000000000005</v>
      </c>
      <c r="S52" s="280"/>
      <c r="V52">
        <v>1000</v>
      </c>
      <c r="W52">
        <f t="shared" si="4"/>
        <v>-484.79999999999995</v>
      </c>
    </row>
    <row r="53" spans="2:23" x14ac:dyDescent="0.3">
      <c r="B53">
        <v>7075</v>
      </c>
      <c r="D53" s="280">
        <v>0</v>
      </c>
      <c r="E53" s="280"/>
      <c r="F53" s="280">
        <f t="shared" si="5"/>
        <v>0</v>
      </c>
      <c r="H53" t="s">
        <v>559</v>
      </c>
      <c r="I53" t="s">
        <v>558</v>
      </c>
      <c r="K53" s="286">
        <v>0.79</v>
      </c>
      <c r="N53" s="280"/>
      <c r="O53" s="280">
        <f t="shared" si="6"/>
        <v>0</v>
      </c>
      <c r="P53" s="280"/>
      <c r="Q53" s="280"/>
      <c r="R53" s="280">
        <f t="shared" si="7"/>
        <v>0</v>
      </c>
      <c r="S53" s="280"/>
      <c r="V53">
        <v>500</v>
      </c>
      <c r="W53">
        <f t="shared" si="4"/>
        <v>-500</v>
      </c>
    </row>
    <row r="54" spans="2:23" x14ac:dyDescent="0.3">
      <c r="B54">
        <v>7080</v>
      </c>
      <c r="D54" s="280">
        <v>279.88</v>
      </c>
      <c r="E54" s="280"/>
      <c r="F54" s="280">
        <f t="shared" si="5"/>
        <v>279.88</v>
      </c>
      <c r="H54" t="s">
        <v>559</v>
      </c>
      <c r="I54" t="s">
        <v>558</v>
      </c>
      <c r="K54" s="286">
        <v>0.79</v>
      </c>
      <c r="N54" s="280"/>
      <c r="O54" s="280">
        <f t="shared" si="6"/>
        <v>221.11</v>
      </c>
      <c r="P54" s="280"/>
      <c r="Q54" s="280"/>
      <c r="R54" s="280">
        <f t="shared" si="7"/>
        <v>58.769999999999982</v>
      </c>
      <c r="S54" s="280"/>
      <c r="V54">
        <v>210</v>
      </c>
      <c r="W54">
        <f t="shared" si="4"/>
        <v>69.88</v>
      </c>
    </row>
    <row r="55" spans="2:23" x14ac:dyDescent="0.3">
      <c r="B55">
        <v>7120</v>
      </c>
      <c r="D55" s="280">
        <v>0</v>
      </c>
      <c r="E55" s="280"/>
      <c r="F55" s="280">
        <f t="shared" si="5"/>
        <v>0</v>
      </c>
      <c r="H55" t="s">
        <v>559</v>
      </c>
      <c r="I55" t="s">
        <v>558</v>
      </c>
      <c r="K55" s="286">
        <v>0.79</v>
      </c>
      <c r="N55" s="280"/>
      <c r="O55" s="280">
        <f t="shared" si="6"/>
        <v>0</v>
      </c>
      <c r="P55" s="280"/>
      <c r="Q55" s="280"/>
      <c r="R55" s="280">
        <f t="shared" si="7"/>
        <v>0</v>
      </c>
      <c r="S55" s="280"/>
      <c r="V55">
        <v>0</v>
      </c>
      <c r="W55">
        <f t="shared" si="4"/>
        <v>0</v>
      </c>
    </row>
    <row r="56" spans="2:23" x14ac:dyDescent="0.3">
      <c r="B56">
        <v>7150</v>
      </c>
      <c r="D56" s="280">
        <v>0</v>
      </c>
      <c r="E56" s="280"/>
      <c r="F56" s="280">
        <f t="shared" si="5"/>
        <v>0</v>
      </c>
      <c r="H56" t="s">
        <v>559</v>
      </c>
      <c r="I56" t="s">
        <v>558</v>
      </c>
      <c r="K56" s="286">
        <v>0.79</v>
      </c>
      <c r="N56" s="280"/>
      <c r="O56" s="280">
        <f t="shared" si="6"/>
        <v>0</v>
      </c>
      <c r="P56" s="280"/>
      <c r="Q56" s="280"/>
      <c r="R56" s="280">
        <f t="shared" si="7"/>
        <v>0</v>
      </c>
      <c r="S56" s="280"/>
      <c r="V56">
        <v>300</v>
      </c>
      <c r="W56">
        <f t="shared" si="4"/>
        <v>-300</v>
      </c>
    </row>
    <row r="57" spans="2:23" x14ac:dyDescent="0.3">
      <c r="B57">
        <v>7160</v>
      </c>
      <c r="D57" s="280">
        <v>0</v>
      </c>
      <c r="E57" s="280"/>
      <c r="F57" s="280">
        <f t="shared" si="5"/>
        <v>0</v>
      </c>
      <c r="H57" t="s">
        <v>559</v>
      </c>
      <c r="I57" t="s">
        <v>558</v>
      </c>
      <c r="K57" s="286">
        <v>0.79</v>
      </c>
      <c r="N57" s="280"/>
      <c r="O57" s="280">
        <f t="shared" si="6"/>
        <v>0</v>
      </c>
      <c r="P57" s="280"/>
      <c r="Q57" s="280"/>
      <c r="R57" s="280">
        <f t="shared" si="7"/>
        <v>0</v>
      </c>
      <c r="S57" s="280"/>
      <c r="V57">
        <v>500</v>
      </c>
      <c r="W57">
        <f t="shared" si="4"/>
        <v>-500</v>
      </c>
    </row>
    <row r="58" spans="2:23" x14ac:dyDescent="0.3">
      <c r="D58" s="280"/>
      <c r="E58" s="280"/>
      <c r="F58" s="280">
        <f t="shared" si="5"/>
        <v>0</v>
      </c>
      <c r="N58" s="280"/>
      <c r="O58" s="280"/>
      <c r="P58" s="280"/>
      <c r="Q58" s="280"/>
      <c r="R58" s="280"/>
      <c r="S58" s="280"/>
    </row>
    <row r="59" spans="2:23" x14ac:dyDescent="0.3">
      <c r="B59">
        <v>8000</v>
      </c>
      <c r="D59" s="280">
        <v>498.24</v>
      </c>
      <c r="E59" s="280"/>
      <c r="F59" s="280">
        <f t="shared" si="5"/>
        <v>498.24</v>
      </c>
      <c r="H59" t="s">
        <v>559</v>
      </c>
      <c r="I59" t="s">
        <v>558</v>
      </c>
      <c r="K59" s="286">
        <v>0.79</v>
      </c>
      <c r="N59" s="280"/>
      <c r="O59" s="280">
        <f t="shared" ref="O59:O64" si="8">ROUND(F59*K59,2)</f>
        <v>393.61</v>
      </c>
      <c r="P59" s="280"/>
      <c r="Q59" s="280"/>
      <c r="R59" s="280">
        <f>F59-O59</f>
        <v>104.63</v>
      </c>
      <c r="S59" s="280"/>
      <c r="V59">
        <v>531</v>
      </c>
      <c r="W59">
        <f t="shared" ref="W59:W65" si="9">F59-V59</f>
        <v>-32.759999999999991</v>
      </c>
    </row>
    <row r="60" spans="2:23" x14ac:dyDescent="0.3">
      <c r="B60">
        <v>8010</v>
      </c>
      <c r="D60" s="280">
        <v>73.73</v>
      </c>
      <c r="E60" s="280"/>
      <c r="F60" s="280">
        <f t="shared" si="5"/>
        <v>73.73</v>
      </c>
      <c r="H60" t="s">
        <v>559</v>
      </c>
      <c r="I60" t="s">
        <v>558</v>
      </c>
      <c r="K60" s="286">
        <v>0.79</v>
      </c>
      <c r="N60" s="280"/>
      <c r="O60" s="280">
        <f t="shared" si="8"/>
        <v>58.25</v>
      </c>
      <c r="P60" s="280"/>
      <c r="Q60" s="280"/>
      <c r="R60" s="280">
        <f>F60-O60</f>
        <v>15.480000000000004</v>
      </c>
      <c r="S60" s="280"/>
      <c r="V60">
        <v>68</v>
      </c>
      <c r="W60">
        <f t="shared" si="9"/>
        <v>5.730000000000004</v>
      </c>
    </row>
    <row r="61" spans="2:23" x14ac:dyDescent="0.3">
      <c r="B61">
        <v>8018</v>
      </c>
      <c r="D61" s="280">
        <v>0</v>
      </c>
      <c r="E61" s="280"/>
      <c r="F61" s="280">
        <f t="shared" si="5"/>
        <v>0</v>
      </c>
      <c r="H61" t="s">
        <v>559</v>
      </c>
      <c r="I61" t="s">
        <v>558</v>
      </c>
      <c r="K61" s="286">
        <v>0.79</v>
      </c>
      <c r="N61" s="280"/>
      <c r="O61" s="280">
        <f t="shared" si="8"/>
        <v>0</v>
      </c>
      <c r="P61" s="280"/>
      <c r="Q61" s="280"/>
      <c r="R61" s="280">
        <f>F61-O61</f>
        <v>0</v>
      </c>
      <c r="S61" s="280"/>
      <c r="W61">
        <f t="shared" si="9"/>
        <v>0</v>
      </c>
    </row>
    <row r="62" spans="2:23" x14ac:dyDescent="0.3">
      <c r="B62">
        <v>8030</v>
      </c>
      <c r="D62" s="280">
        <v>0</v>
      </c>
      <c r="E62" s="280"/>
      <c r="F62" s="280">
        <f t="shared" si="5"/>
        <v>0</v>
      </c>
      <c r="H62" t="s">
        <v>559</v>
      </c>
      <c r="I62" t="s">
        <v>558</v>
      </c>
      <c r="K62" s="286">
        <v>0.79</v>
      </c>
      <c r="N62" s="280"/>
      <c r="O62" s="280">
        <f t="shared" si="8"/>
        <v>0</v>
      </c>
      <c r="P62" s="280"/>
      <c r="Q62" s="280"/>
      <c r="R62" s="280">
        <f>F62-O62</f>
        <v>0</v>
      </c>
      <c r="S62" s="280"/>
      <c r="V62">
        <v>926</v>
      </c>
      <c r="W62">
        <f t="shared" si="9"/>
        <v>-926</v>
      </c>
    </row>
    <row r="63" spans="2:23" x14ac:dyDescent="0.3">
      <c r="B63">
        <v>8040</v>
      </c>
      <c r="D63" s="280">
        <v>5325</v>
      </c>
      <c r="E63" s="280"/>
      <c r="F63" s="280">
        <f t="shared" si="5"/>
        <v>5325</v>
      </c>
      <c r="H63" t="s">
        <v>559</v>
      </c>
      <c r="I63" t="s">
        <v>558</v>
      </c>
      <c r="K63" s="286">
        <v>0.79</v>
      </c>
      <c r="N63" s="280"/>
      <c r="O63" s="280">
        <f t="shared" si="8"/>
        <v>4206.75</v>
      </c>
      <c r="P63" s="280"/>
      <c r="Q63" s="280"/>
      <c r="R63" s="280">
        <f>F63-O63</f>
        <v>1118.25</v>
      </c>
      <c r="S63" s="280"/>
      <c r="V63">
        <v>3600</v>
      </c>
      <c r="W63">
        <f t="shared" si="9"/>
        <v>1725</v>
      </c>
    </row>
    <row r="64" spans="2:23" x14ac:dyDescent="0.3">
      <c r="B64">
        <v>8056</v>
      </c>
      <c r="D64" s="280">
        <v>0</v>
      </c>
      <c r="E64" s="280"/>
      <c r="F64" s="280">
        <f t="shared" si="5"/>
        <v>0</v>
      </c>
      <c r="H64" t="s">
        <v>559</v>
      </c>
      <c r="I64" t="s">
        <v>558</v>
      </c>
      <c r="K64" s="286">
        <v>0.79</v>
      </c>
      <c r="N64" s="280"/>
      <c r="O64" s="280">
        <f t="shared" si="8"/>
        <v>0</v>
      </c>
      <c r="P64" s="280"/>
      <c r="Q64" s="280"/>
      <c r="R64" s="280"/>
      <c r="S64" s="280"/>
      <c r="V64">
        <v>500</v>
      </c>
      <c r="W64">
        <f t="shared" si="9"/>
        <v>-500</v>
      </c>
    </row>
    <row r="65" spans="2:23" x14ac:dyDescent="0.3">
      <c r="B65">
        <v>8060</v>
      </c>
      <c r="D65" s="280">
        <v>8696.9699999999993</v>
      </c>
      <c r="E65" s="280">
        <v>-8696.9699999999993</v>
      </c>
      <c r="F65" s="280">
        <f t="shared" si="5"/>
        <v>0</v>
      </c>
      <c r="K65" s="286"/>
      <c r="N65" s="280"/>
      <c r="O65" s="280"/>
      <c r="P65" s="280"/>
      <c r="Q65" s="280"/>
      <c r="R65" s="280"/>
      <c r="S65" s="280"/>
      <c r="W65">
        <f t="shared" si="9"/>
        <v>0</v>
      </c>
    </row>
    <row r="66" spans="2:23" x14ac:dyDescent="0.3">
      <c r="D66" s="280"/>
      <c r="E66" s="280"/>
      <c r="F66" s="280">
        <f t="shared" si="5"/>
        <v>0</v>
      </c>
      <c r="N66" s="280"/>
      <c r="O66" s="280"/>
      <c r="P66" s="280"/>
      <c r="Q66" s="280"/>
      <c r="R66" s="280"/>
      <c r="S66" s="280"/>
    </row>
    <row r="67" spans="2:23" x14ac:dyDescent="0.3">
      <c r="B67">
        <v>9000</v>
      </c>
      <c r="D67" s="280">
        <v>1366.13</v>
      </c>
      <c r="E67" s="280"/>
      <c r="F67" s="280">
        <f t="shared" si="5"/>
        <v>1366.13</v>
      </c>
      <c r="I67" t="s">
        <v>557</v>
      </c>
      <c r="N67" s="280"/>
      <c r="O67" s="280"/>
      <c r="P67" s="280"/>
      <c r="Q67" s="280"/>
      <c r="R67" s="280"/>
      <c r="S67" s="280">
        <f>F67</f>
        <v>1366.13</v>
      </c>
    </row>
    <row r="68" spans="2:23" x14ac:dyDescent="0.3">
      <c r="B68">
        <v>9001</v>
      </c>
      <c r="D68" s="280">
        <v>315</v>
      </c>
      <c r="E68" s="280"/>
      <c r="F68" s="280">
        <f t="shared" si="5"/>
        <v>315</v>
      </c>
      <c r="I68" t="s">
        <v>557</v>
      </c>
      <c r="N68" s="280"/>
      <c r="O68" s="280"/>
      <c r="P68" s="280"/>
      <c r="Q68" s="280"/>
      <c r="R68" s="280"/>
      <c r="S68" s="280">
        <f>F68</f>
        <v>315</v>
      </c>
    </row>
    <row r="69" spans="2:23" x14ac:dyDescent="0.3">
      <c r="B69">
        <v>9004</v>
      </c>
      <c r="D69" s="280">
        <v>0</v>
      </c>
      <c r="E69" s="280"/>
      <c r="F69" s="280">
        <f t="shared" si="5"/>
        <v>0</v>
      </c>
      <c r="I69" t="s">
        <v>557</v>
      </c>
      <c r="N69" s="280"/>
      <c r="O69" s="280"/>
      <c r="P69" s="280"/>
      <c r="Q69" s="280"/>
      <c r="R69" s="280"/>
      <c r="S69" s="280">
        <f>F69</f>
        <v>0</v>
      </c>
    </row>
    <row r="70" spans="2:23" x14ac:dyDescent="0.3">
      <c r="B70">
        <v>9006</v>
      </c>
      <c r="D70" s="280">
        <v>3993.5</v>
      </c>
      <c r="E70" s="280"/>
      <c r="F70" s="280">
        <f t="shared" si="5"/>
        <v>3993.5</v>
      </c>
      <c r="I70" t="s">
        <v>557</v>
      </c>
      <c r="N70" s="280"/>
      <c r="O70" s="280"/>
      <c r="P70" s="280"/>
      <c r="Q70" s="280"/>
      <c r="R70" s="280"/>
      <c r="S70" s="280">
        <f>F70</f>
        <v>3993.5</v>
      </c>
    </row>
    <row r="71" spans="2:23" x14ac:dyDescent="0.3">
      <c r="B71">
        <v>9009</v>
      </c>
      <c r="D71" s="280">
        <v>0</v>
      </c>
      <c r="E71" s="280"/>
      <c r="F71" s="280">
        <f t="shared" si="5"/>
        <v>0</v>
      </c>
      <c r="N71" s="280"/>
      <c r="O71" s="280"/>
      <c r="P71" s="280"/>
      <c r="Q71" s="280"/>
      <c r="R71" s="280"/>
      <c r="S71" s="280">
        <f>F71</f>
        <v>0</v>
      </c>
    </row>
    <row r="72" spans="2:23" x14ac:dyDescent="0.3">
      <c r="D72" s="280"/>
      <c r="E72" s="280"/>
      <c r="F72" s="280">
        <f t="shared" si="5"/>
        <v>0</v>
      </c>
      <c r="N72" s="280"/>
      <c r="O72" s="280"/>
      <c r="P72" s="280"/>
      <c r="Q72" s="280"/>
      <c r="R72" s="280"/>
      <c r="S72" s="280"/>
    </row>
    <row r="73" spans="2:23" x14ac:dyDescent="0.3">
      <c r="B73">
        <v>9013</v>
      </c>
      <c r="D73" s="280">
        <v>643.29999999999995</v>
      </c>
      <c r="E73" s="280"/>
      <c r="F73" s="280">
        <f t="shared" si="5"/>
        <v>643.29999999999995</v>
      </c>
      <c r="H73" t="s">
        <v>559</v>
      </c>
      <c r="I73" t="s">
        <v>558</v>
      </c>
      <c r="K73" s="286">
        <v>0.79</v>
      </c>
      <c r="N73" s="280"/>
      <c r="O73" s="280">
        <f>ROUND(F73*K73,2)</f>
        <v>508.21</v>
      </c>
      <c r="P73" s="280"/>
      <c r="Q73" s="280"/>
      <c r="R73" s="280">
        <f>F73-O73</f>
        <v>135.08999999999997</v>
      </c>
      <c r="S73" s="280"/>
      <c r="V73">
        <v>700</v>
      </c>
      <c r="W73">
        <f>F73-V73</f>
        <v>-56.700000000000045</v>
      </c>
    </row>
    <row r="74" spans="2:23" x14ac:dyDescent="0.3">
      <c r="D74" s="280"/>
      <c r="E74" s="280"/>
      <c r="F74" s="280">
        <f t="shared" si="5"/>
        <v>0</v>
      </c>
      <c r="N74" s="280"/>
      <c r="O74" s="280"/>
      <c r="P74" s="280"/>
      <c r="Q74" s="280"/>
      <c r="R74" s="280"/>
      <c r="S74" s="280"/>
    </row>
    <row r="75" spans="2:23" x14ac:dyDescent="0.3">
      <c r="B75">
        <v>9018</v>
      </c>
      <c r="D75" s="280">
        <v>8907.2199999999993</v>
      </c>
      <c r="E75" s="280"/>
      <c r="F75" s="280">
        <f t="shared" si="5"/>
        <v>8907.2199999999993</v>
      </c>
      <c r="I75" t="s">
        <v>557</v>
      </c>
      <c r="N75" s="280"/>
      <c r="O75" s="280"/>
      <c r="P75" s="280"/>
      <c r="Q75" s="280"/>
      <c r="R75" s="280"/>
      <c r="S75" s="280">
        <f>D75</f>
        <v>8907.2199999999993</v>
      </c>
    </row>
    <row r="76" spans="2:23" x14ac:dyDescent="0.3">
      <c r="B76">
        <v>9928</v>
      </c>
      <c r="D76" s="280">
        <v>0</v>
      </c>
      <c r="E76" s="280"/>
      <c r="F76" s="280">
        <f t="shared" si="5"/>
        <v>0</v>
      </c>
      <c r="N76" s="280"/>
      <c r="O76" s="280"/>
      <c r="P76" s="280"/>
      <c r="Q76" s="280"/>
      <c r="R76" s="280"/>
      <c r="S76" s="280"/>
      <c r="V76">
        <v>50</v>
      </c>
      <c r="W76">
        <f>F76-V76</f>
        <v>-50</v>
      </c>
    </row>
    <row r="77" spans="2:23" x14ac:dyDescent="0.3">
      <c r="N77" s="280"/>
      <c r="O77" s="280"/>
      <c r="P77" s="280"/>
      <c r="Q77" s="280"/>
      <c r="R77" s="280"/>
      <c r="S77" s="280"/>
    </row>
    <row r="78" spans="2:23" x14ac:dyDescent="0.3">
      <c r="F78" s="285">
        <f>SUM(F5:F77)</f>
        <v>214929.42000000004</v>
      </c>
      <c r="N78" s="285">
        <f t="shared" ref="N78:S78" si="10">SUM(N5:N77)</f>
        <v>65136.700000000004</v>
      </c>
      <c r="O78" s="285">
        <f t="shared" si="10"/>
        <v>17861.200000000004</v>
      </c>
      <c r="P78" s="285">
        <f t="shared" si="10"/>
        <v>48842.630000000005</v>
      </c>
      <c r="Q78" s="285">
        <f t="shared" si="10"/>
        <v>50141.72</v>
      </c>
      <c r="R78" s="285">
        <f t="shared" si="10"/>
        <v>17731.38</v>
      </c>
      <c r="S78" s="285">
        <f t="shared" si="10"/>
        <v>14581.849999999999</v>
      </c>
    </row>
    <row r="79" spans="2:23" x14ac:dyDescent="0.3">
      <c r="N79" s="280"/>
      <c r="O79" s="280"/>
      <c r="P79" s="280"/>
      <c r="Q79" s="280"/>
      <c r="R79" s="280"/>
      <c r="S79" s="280"/>
    </row>
    <row r="80" spans="2:23" x14ac:dyDescent="0.3">
      <c r="F80" s="284"/>
      <c r="N80" s="280"/>
      <c r="O80" s="280"/>
      <c r="P80" s="280"/>
      <c r="Q80" s="280"/>
      <c r="R80" s="280"/>
      <c r="S80" s="280"/>
    </row>
    <row r="81" spans="6:21" x14ac:dyDescent="0.3">
      <c r="F81" s="284" t="s">
        <v>556</v>
      </c>
      <c r="L81">
        <v>0.84311000000000003</v>
      </c>
      <c r="N81" s="283">
        <f>ROUND(N78*$L81,2)</f>
        <v>54917.4</v>
      </c>
      <c r="O81" s="283">
        <f>ROUND(O78*$L81,2)</f>
        <v>15058.96</v>
      </c>
      <c r="P81" s="283">
        <f>ROUND(P78*$L81,2)</f>
        <v>41179.71</v>
      </c>
      <c r="Q81" s="283">
        <f>ROUND(Q78*$L81,2)</f>
        <v>42274.99</v>
      </c>
      <c r="R81" s="283"/>
      <c r="S81" s="283">
        <f>SUM(N78:Q78)-SUM(N81:Q81)</f>
        <v>28551.190000000031</v>
      </c>
      <c r="T81" s="291">
        <f>S81*6%</f>
        <v>1713.0714000000019</v>
      </c>
      <c r="U81" s="286">
        <v>0.06</v>
      </c>
    </row>
    <row r="82" spans="6:21" x14ac:dyDescent="0.3">
      <c r="N82" s="280"/>
      <c r="O82" s="280"/>
      <c r="P82" s="280"/>
      <c r="Q82" s="280"/>
      <c r="R82" s="280"/>
      <c r="S82" s="283">
        <f>R78+S78</f>
        <v>32313.23</v>
      </c>
    </row>
    <row r="83" spans="6:21" x14ac:dyDescent="0.3">
      <c r="N83" s="283"/>
      <c r="O83" s="283"/>
      <c r="P83" s="283"/>
      <c r="Q83" s="283"/>
      <c r="R83" s="280"/>
      <c r="S83" s="282">
        <f>SUM(S81,S82)</f>
        <v>60864.420000000027</v>
      </c>
    </row>
    <row r="84" spans="6:21" x14ac:dyDescent="0.3">
      <c r="N84" s="335" t="s">
        <v>555</v>
      </c>
      <c r="O84" s="335"/>
      <c r="P84" s="335"/>
      <c r="Q84" s="335"/>
      <c r="R84" s="280"/>
      <c r="S84" s="281" t="s">
        <v>554</v>
      </c>
    </row>
    <row r="85" spans="6:21" x14ac:dyDescent="0.3">
      <c r="N85" s="280"/>
      <c r="O85" s="280"/>
      <c r="P85" s="280"/>
      <c r="Q85" s="280"/>
      <c r="R85" s="280"/>
      <c r="S85" s="280"/>
    </row>
    <row r="86" spans="6:21" x14ac:dyDescent="0.3">
      <c r="S86" s="280"/>
    </row>
    <row r="87" spans="6:21" x14ac:dyDescent="0.3">
      <c r="S87" s="290"/>
    </row>
  </sheetData>
  <mergeCells count="1">
    <mergeCell ref="N84:Q8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CONSOLE</vt:lpstr>
      <vt:lpstr>LHA</vt:lpstr>
      <vt:lpstr>TENANTS</vt:lpstr>
      <vt:lpstr>TB21</vt:lpstr>
      <vt:lpstr>Payroll</vt:lpstr>
      <vt:lpstr>FAR</vt:lpstr>
      <vt:lpstr>WBC OFFER 2022</vt:lpstr>
      <vt:lpstr>21% Split</vt:lpstr>
      <vt:lpstr>CONSOLE!Print_Area</vt:lpstr>
      <vt:lpstr>LHA!Print_Area</vt:lpstr>
      <vt:lpstr>Payroll!Print_Area</vt:lpstr>
      <vt:lpstr>TENANTS!Print_Area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Sasha Savich</dc:creator>
  <cp:lastModifiedBy>Muhamad Thowfeek</cp:lastModifiedBy>
  <cp:lastPrinted>2021-04-29T15:00:53Z</cp:lastPrinted>
  <dcterms:created xsi:type="dcterms:W3CDTF">2020-01-14T09:21:27Z</dcterms:created>
  <dcterms:modified xsi:type="dcterms:W3CDTF">2022-03-10T15:47:28Z</dcterms:modified>
</cp:coreProperties>
</file>